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252448981E\OneDrive - United States Air Force\Documents\LCH Documentation\Templates\"/>
    </mc:Choice>
  </mc:AlternateContent>
  <xr:revisionPtr revIDLastSave="0" documentId="8_{2C911245-411E-4EB0-90C8-6D4F0CB5AB01}" xr6:coauthVersionLast="47" xr6:coauthVersionMax="47" xr10:uidLastSave="{00000000-0000-0000-0000-000000000000}"/>
  <bookViews>
    <workbookView xWindow="555" yWindow="825" windowWidth="23010" windowHeight="14130" xr2:uid="{00000000-000D-0000-FFFF-FFFF00000000}"/>
  </bookViews>
  <sheets>
    <sheet name="KOC" sheetId="1" r:id="rId1"/>
    <sheet name="EPA" sheetId="2" r:id="rId2"/>
    <sheet name="Sheet3" sheetId="3" r:id="rId3"/>
  </sheets>
  <definedNames>
    <definedName name="_xlnm.Print_Area" localSheetId="0">KOC!$A$1:$I$42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1" l="1"/>
  <c r="G5" i="1"/>
  <c r="G3" i="1"/>
  <c r="L90" i="1"/>
  <c r="L89" i="1"/>
  <c r="L88" i="1"/>
  <c r="L87" i="1"/>
  <c r="D57" i="1" l="1"/>
  <c r="N83" i="1"/>
  <c r="M83" i="1"/>
  <c r="P82" i="1"/>
  <c r="Q82" i="1" s="1"/>
  <c r="O82" i="1"/>
  <c r="L82" i="1"/>
  <c r="M81" i="1"/>
  <c r="N81" i="1" s="1"/>
  <c r="P81" i="1" s="1"/>
  <c r="P40" i="1"/>
  <c r="Q81" i="1" l="1"/>
  <c r="L83" i="1"/>
  <c r="O81" i="1"/>
  <c r="O6" i="1"/>
  <c r="N8" i="1" s="1"/>
  <c r="P6" i="1" l="1"/>
  <c r="L97" i="1"/>
  <c r="O15" i="1"/>
  <c r="N17" i="1" s="1"/>
  <c r="O8" i="1" l="1"/>
  <c r="P8" i="1" s="1"/>
  <c r="Q8" i="1"/>
  <c r="O17" i="1"/>
  <c r="P17" i="1" s="1"/>
  <c r="Q17" i="1" s="1"/>
  <c r="N19" i="1"/>
  <c r="B14" i="2"/>
  <c r="B17" i="2" s="1"/>
  <c r="B15" i="2"/>
  <c r="B10" i="2"/>
  <c r="B6" i="2"/>
  <c r="B18" i="2" s="1"/>
  <c r="B19" i="2" s="1"/>
  <c r="B5" i="2"/>
  <c r="B8" i="2" s="1"/>
  <c r="B4" i="2"/>
  <c r="B7" i="2" s="1"/>
  <c r="Q19" i="1" l="1"/>
  <c r="O19" i="1"/>
  <c r="P19" i="1" s="1"/>
  <c r="B21" i="2"/>
  <c r="B26" i="2" s="1"/>
  <c r="B20" i="2"/>
  <c r="B23" i="2" s="1"/>
  <c r="B22" i="2"/>
  <c r="B25" i="2" l="1"/>
  <c r="B29" i="2" s="1"/>
  <c r="B33" i="2" s="1"/>
  <c r="B24" i="2"/>
  <c r="B28" i="2" s="1"/>
  <c r="B32" i="2" s="1"/>
  <c r="B27" i="2"/>
  <c r="B31" i="2" s="1"/>
  <c r="B30" i="2"/>
  <c r="B34" i="2" s="1"/>
  <c r="B35" i="2" l="1"/>
  <c r="B36" i="2" s="1"/>
  <c r="B37" i="2" s="1"/>
  <c r="B38" i="2" s="1"/>
  <c r="P28" i="1" l="1"/>
  <c r="P26" i="1"/>
  <c r="Q26" i="1" s="1"/>
  <c r="P24" i="1"/>
  <c r="L77" i="1"/>
  <c r="P77" i="1" s="1"/>
  <c r="L76" i="1"/>
  <c r="Q76" i="1" s="1"/>
  <c r="L75" i="1"/>
  <c r="M75" i="1" s="1"/>
  <c r="L74" i="1"/>
  <c r="Q74" i="1" s="1"/>
  <c r="L73" i="1"/>
  <c r="P73" i="1" s="1"/>
  <c r="Q72" i="1"/>
  <c r="P72" i="1"/>
  <c r="O72" i="1"/>
  <c r="N72" i="1"/>
  <c r="M72" i="1"/>
  <c r="O66" i="1"/>
  <c r="O64" i="1"/>
  <c r="N68" i="1" s="1"/>
  <c r="O57" i="1"/>
  <c r="O55" i="1"/>
  <c r="P55" i="1" s="1"/>
  <c r="H12" i="1"/>
  <c r="I12" i="1" s="1"/>
  <c r="F15" i="1"/>
  <c r="G15" i="1" s="1"/>
  <c r="Q24" i="1" l="1"/>
  <c r="L31" i="1"/>
  <c r="O31" i="1" s="1"/>
  <c r="N42" i="1" s="1"/>
  <c r="P42" i="1" s="1"/>
  <c r="Q75" i="1"/>
  <c r="N59" i="1"/>
  <c r="P59" i="1" s="1"/>
  <c r="Q73" i="1"/>
  <c r="P75" i="1"/>
  <c r="N75" i="1"/>
  <c r="Q68" i="1"/>
  <c r="P68" i="1"/>
  <c r="O68" i="1"/>
  <c r="P64" i="1"/>
  <c r="M77" i="1"/>
  <c r="M74" i="1"/>
  <c r="N77" i="1"/>
  <c r="Q28" i="1"/>
  <c r="O74" i="1"/>
  <c r="O77" i="1"/>
  <c r="P74" i="1"/>
  <c r="M76" i="1"/>
  <c r="N73" i="1"/>
  <c r="N76" i="1"/>
  <c r="O73" i="1"/>
  <c r="O76" i="1"/>
  <c r="Q42" i="1" l="1"/>
  <c r="L45" i="1"/>
  <c r="M31" i="1"/>
  <c r="Q59" i="1"/>
  <c r="O59" i="1"/>
  <c r="N31" i="1"/>
  <c r="F29" i="1"/>
  <c r="F38" i="1"/>
  <c r="G38" i="1" s="1"/>
  <c r="F37" i="1"/>
  <c r="G37" i="1" s="1"/>
  <c r="F36" i="1"/>
  <c r="G36" i="1" s="1"/>
  <c r="F35" i="1"/>
  <c r="G35" i="1" s="1"/>
  <c r="F34" i="1"/>
  <c r="F27" i="1"/>
  <c r="G27" i="1" s="1"/>
  <c r="F19" i="1"/>
  <c r="G19" i="1" s="1"/>
  <c r="F18" i="1"/>
  <c r="G18" i="1" s="1"/>
  <c r="F17" i="1"/>
  <c r="G17" i="1" s="1"/>
  <c r="F16" i="1"/>
  <c r="G16" i="1" s="1"/>
  <c r="F14" i="1"/>
  <c r="O45" i="1" l="1"/>
  <c r="N45" i="1"/>
  <c r="M45" i="1"/>
  <c r="H31" i="1"/>
  <c r="I31" i="1" s="1"/>
  <c r="H39" i="1"/>
  <c r="I39" i="1" s="1"/>
  <c r="G14" i="1"/>
  <c r="H20" i="1"/>
  <c r="I20" i="1" s="1"/>
  <c r="P31" i="1"/>
  <c r="Q31" i="1"/>
  <c r="G34" i="1"/>
  <c r="H22" i="1" l="1"/>
  <c r="H24" i="1" s="1"/>
  <c r="Q45" i="1"/>
  <c r="P45" i="1"/>
  <c r="I22" i="1" l="1"/>
  <c r="I24" i="1"/>
  <c r="H42" i="1"/>
  <c r="I42" i="1" s="1"/>
  <c r="I44" i="1" s="1"/>
</calcChain>
</file>

<file path=xl/sharedStrings.xml><?xml version="1.0" encoding="utf-8"?>
<sst xmlns="http://schemas.openxmlformats.org/spreadsheetml/2006/main" count="308" uniqueCount="175">
  <si>
    <t>mrad</t>
  </si>
  <si>
    <t>μrad</t>
  </si>
  <si>
    <t>deg</t>
  </si>
  <si>
    <t>rad</t>
  </si>
  <si>
    <t>3.a. Beam Divergence</t>
  </si>
  <si>
    <t>mrad/sec</t>
  </si>
  <si>
    <t>μrad/sec</t>
  </si>
  <si>
    <t>deg/sec</t>
  </si>
  <si>
    <t>rad/sec</t>
  </si>
  <si>
    <t>Failure Mode 1</t>
  </si>
  <si>
    <t>sec</t>
  </si>
  <si>
    <t>msec</t>
  </si>
  <si>
    <t>μsec</t>
  </si>
  <si>
    <t>Pointing Uncertainty</t>
  </si>
  <si>
    <t>Max Platform Slew acceleration</t>
  </si>
  <si>
    <t>mrad/s^2</t>
  </si>
  <si>
    <t>μrad/s^2</t>
  </si>
  <si>
    <t>deg/s^2</t>
  </si>
  <si>
    <t>Detection time</t>
  </si>
  <si>
    <t>Max Platform Slew velocity</t>
  </si>
  <si>
    <t>mrad/s</t>
  </si>
  <si>
    <t>μrad/s</t>
  </si>
  <si>
    <t>deg/s</t>
  </si>
  <si>
    <t>rad/s</t>
  </si>
  <si>
    <t>rad/s^2</t>
  </si>
  <si>
    <t>arcmin</t>
  </si>
  <si>
    <t>arcsec</t>
  </si>
  <si>
    <t>Legend</t>
  </si>
  <si>
    <t>User Entry</t>
  </si>
  <si>
    <t>Pressure</t>
  </si>
  <si>
    <t>kPa</t>
  </si>
  <si>
    <t>mbar</t>
  </si>
  <si>
    <t>in Hg</t>
  </si>
  <si>
    <t>Temperature</t>
  </si>
  <si>
    <r>
      <rPr>
        <sz val="11"/>
        <color theme="1"/>
        <rFont val="Symbol"/>
        <family val="1"/>
        <charset val="2"/>
      </rPr>
      <t>°</t>
    </r>
    <r>
      <rPr>
        <sz val="11"/>
        <color theme="1"/>
        <rFont val="Calibri"/>
        <family val="2"/>
      </rPr>
      <t>C</t>
    </r>
  </si>
  <si>
    <r>
      <rPr>
        <sz val="11"/>
        <color theme="1"/>
        <rFont val="Symbol"/>
        <family val="1"/>
        <charset val="2"/>
      </rPr>
      <t>°</t>
    </r>
    <r>
      <rPr>
        <sz val="11"/>
        <color theme="1"/>
        <rFont val="Calibri"/>
        <family val="2"/>
      </rPr>
      <t>F</t>
    </r>
  </si>
  <si>
    <r>
      <rPr>
        <sz val="11"/>
        <color theme="1"/>
        <rFont val="Symbol"/>
        <family val="1"/>
        <charset val="2"/>
      </rPr>
      <t>°</t>
    </r>
    <r>
      <rPr>
        <sz val="11"/>
        <color theme="1"/>
        <rFont val="Calibri"/>
        <family val="2"/>
      </rPr>
      <t>K</t>
    </r>
  </si>
  <si>
    <t>Minimum Elevation</t>
  </si>
  <si>
    <t>Pointing
Uncertainty</t>
  </si>
  <si>
    <t>For Reference:</t>
  </si>
  <si>
    <r>
      <t xml:space="preserve">   Standard Temperature and Pressure (STP) is 0 </t>
    </r>
    <r>
      <rPr>
        <sz val="11"/>
        <color theme="1"/>
        <rFont val="Symbol"/>
        <family val="1"/>
        <charset val="2"/>
      </rPr>
      <t>°</t>
    </r>
    <r>
      <rPr>
        <sz val="11"/>
        <color theme="1"/>
        <rFont val="Calibri"/>
        <family val="2"/>
        <scheme val="minor"/>
      </rPr>
      <t>C, 100 kPa</t>
    </r>
  </si>
  <si>
    <t xml:space="preserve">   Standard Ambient Temperature and Pressure (SATP) is 25 °C, 100 kPa</t>
  </si>
  <si>
    <r>
      <t xml:space="preserve">   Normal Temperature and Pressure (NTP) is 20 </t>
    </r>
    <r>
      <rPr>
        <sz val="11"/>
        <color theme="1"/>
        <rFont val="Symbol"/>
        <family val="1"/>
        <charset val="2"/>
      </rPr>
      <t>°</t>
    </r>
    <r>
      <rPr>
        <sz val="11"/>
        <color theme="1"/>
        <rFont val="Calibri"/>
        <family val="2"/>
        <scheme val="minor"/>
      </rPr>
      <t>C, 101.325 kPa</t>
    </r>
  </si>
  <si>
    <t>Failure Mode 2</t>
  </si>
  <si>
    <t>Failure Mode 3</t>
  </si>
  <si>
    <t>Failure Mode 4</t>
  </si>
  <si>
    <t>Failure Mode 5</t>
  </si>
  <si>
    <t>4. Max Platform Slew angle/sec</t>
  </si>
  <si>
    <t>5. Failure Mode Analysis</t>
  </si>
  <si>
    <t>3.c. Time</t>
  </si>
  <si>
    <t>3.b. Location</t>
  </si>
  <si>
    <t>3.d. Platform Jitter</t>
  </si>
  <si>
    <t>3.e. Internal Alignment</t>
  </si>
  <si>
    <t>3.g. Search Pattern</t>
  </si>
  <si>
    <t>RSS 3.b. --&gt; g.</t>
  </si>
  <si>
    <t>Interim Sum</t>
  </si>
  <si>
    <t>Final Sum</t>
  </si>
  <si>
    <t>For computation</t>
  </si>
  <si>
    <t>Result</t>
  </si>
  <si>
    <t>Total Pointing 
Uncertainty</t>
  </si>
  <si>
    <t>4. Normal Ops Shutdown 
Pointing Uncertainty</t>
  </si>
  <si>
    <t>5. Worst Case Failure Mode Pointing Uncertainty</t>
  </si>
  <si>
    <t>Worksheet: Refraction Calculator (default STP, 0 deg elevation)</t>
  </si>
  <si>
    <t>Worksheet: Failure Mode Estimate with Velocity and Time</t>
  </si>
  <si>
    <t>Worksheet: Failure Mode Estimate with Acceleration and Time</t>
  </si>
  <si>
    <t>3.h. Beam Refraction</t>
  </si>
  <si>
    <t>Normal Ops Pointing Uncert, 3.a. + (RSS 3.b. --&gt; g.) +3.h.</t>
  </si>
  <si>
    <t>4. Shutdown Time</t>
  </si>
  <si>
    <t>Recommended KOC (deg)</t>
  </si>
  <si>
    <t>Re</t>
  </si>
  <si>
    <t>km</t>
  </si>
  <si>
    <t>radius of the earth</t>
  </si>
  <si>
    <t>h</t>
  </si>
  <si>
    <t>nominal altitude</t>
  </si>
  <si>
    <t>up/down altitude bounds from nominal</t>
  </si>
  <si>
    <t>lower bound, calculated</t>
  </si>
  <si>
    <t>upper bound, calculated</t>
  </si>
  <si>
    <t>ctr of earth to aircraft nominal altitude, calculated</t>
  </si>
  <si>
    <t>ctr of earth to aircraft minimum altitude, calculated</t>
  </si>
  <si>
    <t>ctr of earth to aircraft maximum altitude, calculated</t>
  </si>
  <si>
    <t>o</t>
  </si>
  <si>
    <t>minimum satellite altitude</t>
  </si>
  <si>
    <t>Re + o</t>
  </si>
  <si>
    <t>ctr of earth to satellite altitude, calculated</t>
  </si>
  <si>
    <t>z</t>
  </si>
  <si>
    <t>d</t>
  </si>
  <si>
    <t>radius of circle that encloses PAM area of operations</t>
  </si>
  <si>
    <t>180-z</t>
  </si>
  <si>
    <t>interim value</t>
  </si>
  <si>
    <t>f</t>
  </si>
  <si>
    <t>angle subtended by radius of circle, to ctr of earth</t>
  </si>
  <si>
    <t>b</t>
  </si>
  <si>
    <t>g</t>
  </si>
  <si>
    <t>L</t>
  </si>
  <si>
    <t>Largest KOC half angle, use this</t>
  </si>
  <si>
    <t>urad</t>
  </si>
  <si>
    <r>
      <rPr>
        <sz val="11"/>
        <color rgb="FF000000"/>
        <rFont val="Symbol"/>
        <family val="1"/>
        <charset val="2"/>
      </rPr>
      <t>D</t>
    </r>
    <r>
      <rPr>
        <sz val="11"/>
        <color rgb="FF000000"/>
        <rFont val="Calibri"/>
        <family val="2"/>
      </rPr>
      <t>h</t>
    </r>
  </si>
  <si>
    <r>
      <t>h</t>
    </r>
    <r>
      <rPr>
        <vertAlign val="subscript"/>
        <sz val="11"/>
        <color rgb="FF000000"/>
        <rFont val="Calibri"/>
        <family val="2"/>
      </rPr>
      <t>1</t>
    </r>
  </si>
  <si>
    <r>
      <rPr>
        <sz val="11"/>
        <color rgb="FF000000"/>
        <rFont val="Calibri"/>
        <family val="2"/>
      </rPr>
      <t>h</t>
    </r>
    <r>
      <rPr>
        <vertAlign val="subscript"/>
        <sz val="11"/>
        <color rgb="FF000000"/>
        <rFont val="Calibri"/>
        <family val="2"/>
      </rPr>
      <t>2</t>
    </r>
  </si>
  <si>
    <r>
      <t>R</t>
    </r>
    <r>
      <rPr>
        <vertAlign val="subscript"/>
        <sz val="11"/>
        <color rgb="FF000000"/>
        <rFont val="Calibri"/>
        <family val="2"/>
      </rPr>
      <t>e</t>
    </r>
    <r>
      <rPr>
        <sz val="11"/>
        <color theme="1"/>
        <rFont val="Calibri"/>
        <family val="2"/>
        <scheme val="minor"/>
      </rPr>
      <t xml:space="preserve"> + h</t>
    </r>
    <r>
      <rPr>
        <vertAlign val="subscript"/>
        <sz val="11"/>
        <color rgb="FF000000"/>
        <rFont val="Calibri"/>
        <family val="2"/>
      </rPr>
      <t xml:space="preserve"> </t>
    </r>
  </si>
  <si>
    <r>
      <t>R</t>
    </r>
    <r>
      <rPr>
        <vertAlign val="subscript"/>
        <sz val="11"/>
        <color rgb="FF000000"/>
        <rFont val="Calibri"/>
        <family val="2"/>
      </rPr>
      <t>e</t>
    </r>
    <r>
      <rPr>
        <sz val="11"/>
        <color theme="1"/>
        <rFont val="Calibri"/>
        <family val="2"/>
        <scheme val="minor"/>
      </rPr>
      <t xml:space="preserve"> + h</t>
    </r>
    <r>
      <rPr>
        <vertAlign val="subscript"/>
        <sz val="11"/>
        <color rgb="FF000000"/>
        <rFont val="Calibri"/>
        <family val="2"/>
      </rPr>
      <t>1</t>
    </r>
  </si>
  <si>
    <r>
      <t>R</t>
    </r>
    <r>
      <rPr>
        <vertAlign val="subscript"/>
        <sz val="11"/>
        <color rgb="FF000000"/>
        <rFont val="Calibri"/>
        <family val="2"/>
      </rPr>
      <t>e</t>
    </r>
    <r>
      <rPr>
        <sz val="11"/>
        <color theme="1"/>
        <rFont val="Calibri"/>
        <family val="2"/>
        <scheme val="minor"/>
      </rPr>
      <t xml:space="preserve"> + h</t>
    </r>
    <r>
      <rPr>
        <vertAlign val="subscript"/>
        <sz val="11"/>
        <color rgb="FF000000"/>
        <rFont val="Calibri"/>
        <family val="2"/>
      </rPr>
      <t>2</t>
    </r>
  </si>
  <si>
    <r>
      <t>g</t>
    </r>
    <r>
      <rPr>
        <vertAlign val="subscript"/>
        <sz val="11"/>
        <color rgb="FF000000"/>
        <rFont val="Symbol"/>
        <family val="1"/>
        <charset val="2"/>
      </rPr>
      <t>1</t>
    </r>
    <r>
      <rPr>
        <sz val="11"/>
        <color rgb="FF000000"/>
        <rFont val="Symbol"/>
        <family val="1"/>
        <charset val="2"/>
      </rPr>
      <t>, g</t>
    </r>
    <r>
      <rPr>
        <vertAlign val="subscript"/>
        <sz val="11"/>
        <color rgb="FF000000"/>
        <rFont val="Symbol"/>
        <family val="1"/>
        <charset val="2"/>
      </rPr>
      <t>2</t>
    </r>
  </si>
  <si>
    <r>
      <t>g</t>
    </r>
    <r>
      <rPr>
        <vertAlign val="subscript"/>
        <sz val="11"/>
        <color rgb="FF000000"/>
        <rFont val="Symbol"/>
        <family val="1"/>
        <charset val="2"/>
      </rPr>
      <t>3</t>
    </r>
    <r>
      <rPr>
        <sz val="11"/>
        <color rgb="FF000000"/>
        <rFont val="Symbol"/>
        <family val="1"/>
        <charset val="2"/>
      </rPr>
      <t>, g</t>
    </r>
    <r>
      <rPr>
        <vertAlign val="subscript"/>
        <sz val="11"/>
        <color rgb="FF000000"/>
        <rFont val="Symbol"/>
        <family val="1"/>
        <charset val="2"/>
      </rPr>
      <t>4</t>
    </r>
  </si>
  <si>
    <r>
      <t>L</t>
    </r>
    <r>
      <rPr>
        <vertAlign val="subscript"/>
        <sz val="11"/>
        <color rgb="FF000000"/>
        <rFont val="Calibri"/>
        <family val="2"/>
      </rPr>
      <t>1</t>
    </r>
  </si>
  <si>
    <r>
      <t>L</t>
    </r>
    <r>
      <rPr>
        <vertAlign val="subscript"/>
        <sz val="11"/>
        <color rgb="FF000000"/>
        <rFont val="Calibri"/>
        <family val="2"/>
      </rPr>
      <t>2</t>
    </r>
  </si>
  <si>
    <r>
      <t>L</t>
    </r>
    <r>
      <rPr>
        <vertAlign val="subscript"/>
        <sz val="11"/>
        <color rgb="FF000000"/>
        <rFont val="Calibri"/>
        <family val="2"/>
      </rPr>
      <t>3</t>
    </r>
  </si>
  <si>
    <r>
      <t>L</t>
    </r>
    <r>
      <rPr>
        <vertAlign val="subscript"/>
        <sz val="11"/>
        <color rgb="FF000000"/>
        <rFont val="Calibri"/>
        <family val="2"/>
      </rPr>
      <t>4</t>
    </r>
  </si>
  <si>
    <r>
      <t>z</t>
    </r>
    <r>
      <rPr>
        <vertAlign val="subscript"/>
        <sz val="11"/>
        <color rgb="FF000000"/>
        <rFont val="Calibri"/>
        <family val="2"/>
      </rPr>
      <t>1</t>
    </r>
  </si>
  <si>
    <r>
      <t>z</t>
    </r>
    <r>
      <rPr>
        <vertAlign val="subscript"/>
        <sz val="11"/>
        <color rgb="FF000000"/>
        <rFont val="Calibri"/>
        <family val="2"/>
      </rPr>
      <t>2</t>
    </r>
  </si>
  <si>
    <r>
      <t>z</t>
    </r>
    <r>
      <rPr>
        <vertAlign val="subscript"/>
        <sz val="11"/>
        <color rgb="FF000000"/>
        <rFont val="Calibri"/>
        <family val="2"/>
      </rPr>
      <t>3</t>
    </r>
  </si>
  <si>
    <r>
      <t>z</t>
    </r>
    <r>
      <rPr>
        <vertAlign val="subscript"/>
        <sz val="11"/>
        <color rgb="FF000000"/>
        <rFont val="Calibri"/>
        <family val="2"/>
      </rPr>
      <t>4</t>
    </r>
  </si>
  <si>
    <r>
      <t>D</t>
    </r>
    <r>
      <rPr>
        <vertAlign val="subscript"/>
        <sz val="11"/>
        <color rgb="FF000000"/>
        <rFont val="Symbol"/>
        <family val="1"/>
        <charset val="2"/>
      </rPr>
      <t>1</t>
    </r>
  </si>
  <si>
    <r>
      <t>D</t>
    </r>
    <r>
      <rPr>
        <vertAlign val="subscript"/>
        <sz val="11"/>
        <color rgb="FF000000"/>
        <rFont val="Symbol"/>
        <family val="1"/>
        <charset val="2"/>
      </rPr>
      <t>2</t>
    </r>
  </si>
  <si>
    <r>
      <t>D</t>
    </r>
    <r>
      <rPr>
        <vertAlign val="subscript"/>
        <sz val="11"/>
        <color rgb="FF000000"/>
        <rFont val="Symbol"/>
        <family val="1"/>
        <charset val="2"/>
      </rPr>
      <t>3</t>
    </r>
  </si>
  <si>
    <r>
      <t>D</t>
    </r>
    <r>
      <rPr>
        <vertAlign val="subscript"/>
        <sz val="11"/>
        <color rgb="FF000000"/>
        <rFont val="Symbol"/>
        <family val="1"/>
        <charset val="2"/>
      </rPr>
      <t>4</t>
    </r>
  </si>
  <si>
    <r>
      <rPr>
        <b/>
        <sz val="12"/>
        <color rgb="FF000000"/>
        <rFont val="Calibri"/>
        <family val="2"/>
      </rPr>
      <t>Max</t>
    </r>
    <r>
      <rPr>
        <b/>
        <sz val="12"/>
        <color rgb="FF000000"/>
        <rFont val="Symbol"/>
        <family val="1"/>
        <charset val="2"/>
      </rPr>
      <t xml:space="preserve"> D</t>
    </r>
  </si>
  <si>
    <t>m</t>
  </si>
  <si>
    <t>radius of circle plus positional error (interim, calculated)</t>
  </si>
  <si>
    <r>
      <t xml:space="preserve">positional error (e.g. GPS or survey error) in </t>
    </r>
    <r>
      <rPr>
        <b/>
        <sz val="11"/>
        <color theme="1"/>
        <rFont val="Calibri"/>
        <family val="2"/>
      </rPr>
      <t>meters!</t>
    </r>
  </si>
  <si>
    <r>
      <rPr>
        <b/>
        <sz val="11"/>
        <color theme="1"/>
        <rFont val="Calibri"/>
        <family val="2"/>
      </rPr>
      <t>minimum</t>
    </r>
    <r>
      <rPr>
        <sz val="11"/>
        <color theme="1"/>
        <rFont val="Calibri"/>
        <family val="2"/>
      </rPr>
      <t xml:space="preserve"> zenith angle, i.e. angle down from vertical</t>
    </r>
  </si>
  <si>
    <t>Satellite Altitude / Velocity</t>
  </si>
  <si>
    <t>km/sec</t>
  </si>
  <si>
    <t>Pointing Uncertainty size</t>
  </si>
  <si>
    <t>Pointing Uncertainty Angle</t>
  </si>
  <si>
    <t>meters</t>
  </si>
  <si>
    <t xml:space="preserve">ft </t>
  </si>
  <si>
    <t>V1</t>
  </si>
  <si>
    <t>V2</t>
  </si>
  <si>
    <t>V3</t>
  </si>
  <si>
    <t>V4</t>
  </si>
  <si>
    <t>V5</t>
  </si>
  <si>
    <t>V6</t>
  </si>
  <si>
    <t>RSS</t>
  </si>
  <si>
    <t>Worksheet: Timing Error Calculator</t>
  </si>
  <si>
    <t>nmi</t>
  </si>
  <si>
    <t>Read values across left and right from blue entry box</t>
  </si>
  <si>
    <t>Values (use same units!)</t>
  </si>
  <si>
    <t>Worksheet: Location Error Calculator</t>
  </si>
  <si>
    <t>Satellite Altitude</t>
  </si>
  <si>
    <t>miles</t>
  </si>
  <si>
    <t>ft</t>
  </si>
  <si>
    <t>Laser Location Error</t>
  </si>
  <si>
    <t>Laser Timing Error</t>
  </si>
  <si>
    <t>Math Tool: Angle Converter</t>
  </si>
  <si>
    <t>dd.ddd</t>
  </si>
  <si>
    <t>dd</t>
  </si>
  <si>
    <t>mm.mmm</t>
  </si>
  <si>
    <t>mm</t>
  </si>
  <si>
    <t>ss.sss</t>
  </si>
  <si>
    <t>Math Tool: DMS Converter</t>
  </si>
  <si>
    <t>Refraction 
Correction</t>
  </si>
  <si>
    <t>Worksheet: Refraction Correction Error Calculator</t>
  </si>
  <si>
    <t>Contributors (percent)</t>
  </si>
  <si>
    <t xml:space="preserve">  l</t>
  </si>
  <si>
    <t xml:space="preserve">  P</t>
  </si>
  <si>
    <t xml:space="preserve">  T</t>
  </si>
  <si>
    <t>Max Refraction Value</t>
  </si>
  <si>
    <t>total %</t>
  </si>
  <si>
    <t>Correction Error</t>
  </si>
  <si>
    <r>
      <t xml:space="preserve">   </t>
    </r>
    <r>
      <rPr>
        <sz val="11"/>
        <color theme="1"/>
        <rFont val="Symbol"/>
        <family val="1"/>
        <charset val="2"/>
      </rPr>
      <t xml:space="preserve">l - </t>
    </r>
    <r>
      <rPr>
        <sz val="12.1"/>
        <color theme="1"/>
        <rFont val="Calibri"/>
        <family val="2"/>
      </rPr>
      <t>use 2.3% for laser operating in visible to IR, 11.4% if UV to IR</t>
    </r>
  </si>
  <si>
    <r>
      <t xml:space="preserve">   T </t>
    </r>
    <r>
      <rPr>
        <sz val="11"/>
        <color theme="1"/>
        <rFont val="Symbol"/>
        <family val="1"/>
        <charset val="2"/>
      </rPr>
      <t>-</t>
    </r>
    <r>
      <rPr>
        <sz val="11"/>
        <color theme="1"/>
        <rFont val="Calibri"/>
        <family val="2"/>
        <scheme val="minor"/>
      </rPr>
      <t xml:space="preserve"> use 12% if set to nominal standard, 0.0% if using real time atmospheric temperature</t>
    </r>
  </si>
  <si>
    <r>
      <t xml:space="preserve">   P </t>
    </r>
    <r>
      <rPr>
        <sz val="11"/>
        <color theme="1"/>
        <rFont val="Symbol"/>
        <family val="1"/>
        <charset val="2"/>
      </rPr>
      <t>-</t>
    </r>
    <r>
      <rPr>
        <sz val="11"/>
        <color theme="1"/>
        <rFont val="Calibri"/>
        <family val="2"/>
        <scheme val="minor"/>
      </rPr>
      <t xml:space="preserve"> use 3.6% if set to nominal standard, 0.0% if using real time barometric pressure</t>
    </r>
  </si>
  <si>
    <t>+</t>
  </si>
  <si>
    <t xml:space="preserve"> (160 km is standard)</t>
  </si>
  <si>
    <t xml:space="preserve"> (160 km and 7.811 km/sec are standard)</t>
  </si>
  <si>
    <t>3.f. Pointing vs. Inertial</t>
  </si>
  <si>
    <t>Value 1</t>
  </si>
  <si>
    <t>Value 2</t>
  </si>
  <si>
    <t>Value 3</t>
  </si>
  <si>
    <t>Value 4</t>
  </si>
  <si>
    <t>Value 5</t>
  </si>
  <si>
    <t>Enter values, read RSS result</t>
  </si>
  <si>
    <t>Math Tool: RSS Calculator #1</t>
  </si>
  <si>
    <t>Math Tool: RSS Calculator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</si>
</sst>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0000"/>
    <numFmt numFmtId="165" formatCode="0.0000"/>
    <numFmt numFmtId="166" formatCode="0.0000000"/>
    <numFmt numFmtId="167" formatCode="0.000"/>
    <numFmt numFmtId="168" formatCode="0.000E+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rgb="FF000000"/>
      <name val="Calibri"/>
      <family val="2"/>
    </font>
    <font>
      <sz val="11"/>
      <color rgb="FF000000"/>
      <name val="Symbol"/>
      <family val="1"/>
      <charset val="2"/>
    </font>
    <font>
      <vertAlign val="subscript"/>
      <sz val="11"/>
      <color rgb="FF000000"/>
      <name val="Calibri"/>
      <family val="2"/>
    </font>
    <font>
      <vertAlign val="subscript"/>
      <sz val="11"/>
      <color rgb="FF000000"/>
      <name val="Symbol"/>
      <family val="1"/>
      <charset val="2"/>
    </font>
    <font>
      <b/>
      <sz val="12"/>
      <color rgb="FF000000"/>
      <name val="Symbol"/>
      <family val="1"/>
      <charset val="2"/>
    </font>
    <font>
      <b/>
      <sz val="12"/>
      <color rgb="FF000000"/>
      <name val="Calibri"/>
      <family val="2"/>
    </font>
    <font>
      <b/>
      <sz val="11"/>
      <color theme="1"/>
      <name val="Calibri"/>
      <family val="2"/>
    </font>
    <font>
      <sz val="12.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9D08E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Protection="1">
      <protection locked="0"/>
    </xf>
    <xf numFmtId="0" fontId="0" fillId="2" borderId="1" xfId="0" applyFill="1" applyBorder="1" applyProtection="1">
      <protection locked="0"/>
    </xf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" fillId="0" borderId="2" xfId="0" applyFont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Alignment="1" applyProtection="1">
      <alignment horizontal="right"/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2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7" xfId="0" applyFont="1" applyBorder="1" applyAlignment="1">
      <alignment horizontal="right" wrapText="1"/>
    </xf>
    <xf numFmtId="0" fontId="2" fillId="0" borderId="8" xfId="0" applyFont="1" applyBorder="1" applyProtection="1">
      <protection locked="0"/>
    </xf>
    <xf numFmtId="0" fontId="1" fillId="0" borderId="3" xfId="0" applyFont="1" applyBorder="1"/>
    <xf numFmtId="0" fontId="0" fillId="0" borderId="7" xfId="0" applyBorder="1"/>
    <xf numFmtId="0" fontId="0" fillId="2" borderId="12" xfId="0" applyFill="1" applyBorder="1" applyProtection="1">
      <protection locked="0"/>
    </xf>
    <xf numFmtId="0" fontId="0" fillId="0" borderId="5" xfId="0" applyBorder="1" applyAlignment="1">
      <alignment horizontal="right"/>
    </xf>
    <xf numFmtId="0" fontId="1" fillId="0" borderId="6" xfId="0" applyFont="1" applyBorder="1"/>
    <xf numFmtId="0" fontId="0" fillId="0" borderId="8" xfId="0" applyBorder="1"/>
    <xf numFmtId="0" fontId="0" fillId="0" borderId="9" xfId="0" applyBorder="1"/>
    <xf numFmtId="0" fontId="0" fillId="4" borderId="1" xfId="0" applyFill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/>
    <xf numFmtId="0" fontId="0" fillId="5" borderId="1" xfId="0" applyFill="1" applyBorder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>
      <alignment horizontal="left"/>
    </xf>
    <xf numFmtId="164" fontId="2" fillId="0" borderId="0" xfId="0" applyNumberFormat="1" applyFont="1"/>
    <xf numFmtId="164" fontId="0" fillId="0" borderId="0" xfId="0" applyNumberFormat="1" applyProtection="1">
      <protection locked="0"/>
    </xf>
    <xf numFmtId="164" fontId="2" fillId="5" borderId="13" xfId="0" applyNumberFormat="1" applyFont="1" applyFill="1" applyBorder="1" applyAlignment="1">
      <alignment vertical="center"/>
    </xf>
    <xf numFmtId="164" fontId="2" fillId="4" borderId="13" xfId="0" applyNumberFormat="1" applyFont="1" applyFill="1" applyBorder="1" applyAlignment="1" applyProtection="1">
      <alignment vertical="center"/>
      <protection locked="0"/>
    </xf>
    <xf numFmtId="0" fontId="2" fillId="0" borderId="7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3" borderId="11" xfId="0" applyFont="1" applyFill="1" applyBorder="1"/>
    <xf numFmtId="2" fontId="2" fillId="4" borderId="0" xfId="0" applyNumberFormat="1" applyFont="1" applyFill="1" applyProtection="1">
      <protection locked="0"/>
    </xf>
    <xf numFmtId="0" fontId="1" fillId="6" borderId="0" xfId="0" applyFont="1" applyFill="1"/>
    <xf numFmtId="0" fontId="4" fillId="0" borderId="0" xfId="0" applyFont="1"/>
    <xf numFmtId="0" fontId="6" fillId="0" borderId="0" xfId="0" applyFont="1"/>
    <xf numFmtId="0" fontId="5" fillId="0" borderId="0" xfId="0" applyFont="1"/>
    <xf numFmtId="0" fontId="8" fillId="0" borderId="0" xfId="0" applyFont="1"/>
    <xf numFmtId="0" fontId="9" fillId="0" borderId="0" xfId="0" applyFont="1"/>
    <xf numFmtId="165" fontId="9" fillId="7" borderId="0" xfId="0" applyNumberFormat="1" applyFont="1" applyFill="1"/>
    <xf numFmtId="0" fontId="0" fillId="0" borderId="5" xfId="0" applyBorder="1" applyProtection="1">
      <protection locked="0"/>
    </xf>
    <xf numFmtId="0" fontId="0" fillId="8" borderId="1" xfId="0" applyFill="1" applyBorder="1" applyProtection="1">
      <protection locked="0"/>
    </xf>
    <xf numFmtId="0" fontId="0" fillId="8" borderId="0" xfId="0" applyFill="1"/>
    <xf numFmtId="166" fontId="0" fillId="8" borderId="0" xfId="0" applyNumberFormat="1" applyFill="1"/>
    <xf numFmtId="0" fontId="0" fillId="8" borderId="6" xfId="0" applyFill="1" applyBorder="1"/>
    <xf numFmtId="0" fontId="2" fillId="9" borderId="11" xfId="0" applyFont="1" applyFill="1" applyBorder="1"/>
    <xf numFmtId="0" fontId="0" fillId="9" borderId="1" xfId="0" applyFill="1" applyBorder="1" applyProtection="1">
      <protection locked="0"/>
    </xf>
    <xf numFmtId="164" fontId="2" fillId="9" borderId="0" xfId="0" applyNumberFormat="1" applyFont="1" applyFill="1"/>
    <xf numFmtId="164" fontId="2" fillId="9" borderId="0" xfId="0" applyNumberFormat="1" applyFont="1" applyFill="1" applyAlignment="1">
      <alignment vertical="center"/>
    </xf>
    <xf numFmtId="0" fontId="2" fillId="9" borderId="1" xfId="0" applyFont="1" applyFill="1" applyBorder="1" applyAlignment="1">
      <alignment vertical="center"/>
    </xf>
    <xf numFmtId="0" fontId="2" fillId="9" borderId="11" xfId="0" applyFont="1" applyFill="1" applyBorder="1" applyAlignment="1">
      <alignment vertical="center"/>
    </xf>
    <xf numFmtId="0" fontId="2" fillId="9" borderId="12" xfId="0" applyFont="1" applyFill="1" applyBorder="1" applyAlignment="1">
      <alignment vertical="center"/>
    </xf>
    <xf numFmtId="0" fontId="2" fillId="9" borderId="10" xfId="0" applyFont="1" applyFill="1" applyBorder="1" applyAlignment="1">
      <alignment vertical="center"/>
    </xf>
    <xf numFmtId="0" fontId="0" fillId="2" borderId="10" xfId="0" applyFill="1" applyBorder="1" applyProtection="1">
      <protection locked="0"/>
    </xf>
    <xf numFmtId="0" fontId="2" fillId="9" borderId="11" xfId="0" applyFont="1" applyFill="1" applyBorder="1" applyProtection="1">
      <protection locked="0"/>
    </xf>
    <xf numFmtId="0" fontId="2" fillId="0" borderId="7" xfId="0" applyFont="1" applyBorder="1" applyAlignment="1" applyProtection="1">
      <alignment horizontal="right"/>
      <protection locked="0"/>
    </xf>
    <xf numFmtId="0" fontId="2" fillId="9" borderId="15" xfId="0" applyFont="1" applyFill="1" applyBorder="1"/>
    <xf numFmtId="0" fontId="2" fillId="9" borderId="14" xfId="0" applyFont="1" applyFill="1" applyBorder="1"/>
    <xf numFmtId="0" fontId="2" fillId="9" borderId="16" xfId="0" applyFont="1" applyFill="1" applyBorder="1"/>
    <xf numFmtId="0" fontId="2" fillId="9" borderId="17" xfId="0" applyFont="1" applyFill="1" applyBorder="1"/>
    <xf numFmtId="0" fontId="2" fillId="9" borderId="18" xfId="0" applyFont="1" applyFill="1" applyBorder="1"/>
    <xf numFmtId="0" fontId="2" fillId="0" borderId="5" xfId="0" applyFont="1" applyBorder="1" applyAlignment="1">
      <alignment horizontal="right" wrapText="1"/>
    </xf>
    <xf numFmtId="10" fontId="0" fillId="2" borderId="1" xfId="0" applyNumberFormat="1" applyFill="1" applyBorder="1" applyProtection="1">
      <protection locked="0"/>
    </xf>
    <xf numFmtId="10" fontId="0" fillId="8" borderId="0" xfId="0" applyNumberFormat="1" applyFill="1"/>
    <xf numFmtId="0" fontId="2" fillId="0" borderId="2" xfId="0" applyFont="1" applyBorder="1" applyProtection="1">
      <protection locked="0"/>
    </xf>
    <xf numFmtId="0" fontId="3" fillId="0" borderId="0" xfId="0" applyFont="1" applyProtection="1">
      <protection locked="0"/>
    </xf>
    <xf numFmtId="0" fontId="0" fillId="0" borderId="5" xfId="0" applyBorder="1" applyAlignment="1" applyProtection="1">
      <alignment horizontal="right" vertical="center"/>
      <protection locked="0"/>
    </xf>
    <xf numFmtId="1" fontId="2" fillId="9" borderId="15" xfId="0" applyNumberFormat="1" applyFont="1" applyFill="1" applyBorder="1"/>
    <xf numFmtId="167" fontId="2" fillId="9" borderId="16" xfId="0" applyNumberFormat="1" applyFont="1" applyFill="1" applyBorder="1"/>
    <xf numFmtId="0" fontId="2" fillId="9" borderId="21" xfId="0" applyFont="1" applyFill="1" applyBorder="1"/>
    <xf numFmtId="167" fontId="2" fillId="9" borderId="22" xfId="0" applyNumberFormat="1" applyFont="1" applyFill="1" applyBorder="1"/>
    <xf numFmtId="0" fontId="2" fillId="9" borderId="23" xfId="0" applyFont="1" applyFill="1" applyBorder="1"/>
    <xf numFmtId="1" fontId="2" fillId="9" borderId="23" xfId="0" applyNumberFormat="1" applyFont="1" applyFill="1" applyBorder="1"/>
    <xf numFmtId="167" fontId="2" fillId="9" borderId="24" xfId="0" applyNumberFormat="1" applyFont="1" applyFill="1" applyBorder="1"/>
    <xf numFmtId="0" fontId="0" fillId="2" borderId="21" xfId="0" applyFill="1" applyBorder="1" applyProtection="1">
      <protection locked="0"/>
    </xf>
    <xf numFmtId="0" fontId="0" fillId="2" borderId="22" xfId="0" applyFill="1" applyBorder="1" applyProtection="1">
      <protection locked="0"/>
    </xf>
    <xf numFmtId="0" fontId="0" fillId="0" borderId="25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29" xfId="0" applyBorder="1" applyProtection="1">
      <protection locked="0"/>
    </xf>
    <xf numFmtId="0" fontId="2" fillId="9" borderId="30" xfId="0" applyFont="1" applyFill="1" applyBorder="1"/>
    <xf numFmtId="0" fontId="0" fillId="2" borderId="18" xfId="0" applyFill="1" applyBorder="1" applyProtection="1">
      <protection locked="0"/>
    </xf>
    <xf numFmtId="167" fontId="0" fillId="2" borderId="31" xfId="0" applyNumberFormat="1" applyFill="1" applyBorder="1" applyProtection="1">
      <protection locked="0"/>
    </xf>
    <xf numFmtId="0" fontId="0" fillId="0" borderId="0" xfId="0" quotePrefix="1" applyAlignment="1">
      <alignment horizontal="right" vertical="center"/>
    </xf>
    <xf numFmtId="168" fontId="2" fillId="9" borderId="11" xfId="0" applyNumberFormat="1" applyFont="1" applyFill="1" applyBorder="1"/>
    <xf numFmtId="166" fontId="2" fillId="9" borderId="12" xfId="0" applyNumberFormat="1" applyFont="1" applyFill="1" applyBorder="1"/>
    <xf numFmtId="168" fontId="2" fillId="9" borderId="12" xfId="0" applyNumberFormat="1" applyFont="1" applyFill="1" applyBorder="1"/>
    <xf numFmtId="168" fontId="0" fillId="2" borderId="1" xfId="0" applyNumberFormat="1" applyFill="1" applyBorder="1" applyProtection="1">
      <protection locked="0"/>
    </xf>
    <xf numFmtId="167" fontId="0" fillId="2" borderId="1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164" fontId="2" fillId="3" borderId="12" xfId="0" applyNumberFormat="1" applyFont="1" applyFill="1" applyBorder="1"/>
    <xf numFmtId="0" fontId="0" fillId="0" borderId="1" xfId="0" applyBorder="1" applyProtection="1">
      <protection locked="0"/>
    </xf>
    <xf numFmtId="0" fontId="2" fillId="9" borderId="1" xfId="0" applyFont="1" applyFill="1" applyBorder="1"/>
    <xf numFmtId="0" fontId="0" fillId="0" borderId="33" xfId="0" applyBorder="1" applyProtection="1">
      <protection locked="0"/>
    </xf>
    <xf numFmtId="0" fontId="0" fillId="0" borderId="10" xfId="0" applyBorder="1" applyProtection="1">
      <protection locked="0"/>
    </xf>
    <xf numFmtId="0" fontId="0" fillId="2" borderId="11" xfId="0" applyFill="1" applyBorder="1" applyProtection="1">
      <protection locked="0"/>
    </xf>
    <xf numFmtId="0" fontId="2" fillId="0" borderId="32" xfId="0" applyFont="1" applyBorder="1" applyProtection="1">
      <protection locked="0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20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312420</xdr:colOff>
      <xdr:row>1</xdr:row>
      <xdr:rowOff>68580</xdr:rowOff>
    </xdr:from>
    <xdr:to>
      <xdr:col>14</xdr:col>
      <xdr:colOff>289560</xdr:colOff>
      <xdr:row>51</xdr:row>
      <xdr:rowOff>15240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5509260" y="251460"/>
          <a:ext cx="3634740" cy="5524500"/>
        </a:xfrm>
        <a:prstGeom prst="rect">
          <a:avLst/>
        </a:prstGeom>
        <a:solidFill>
          <a:srgbClr val="70AD47">
            <a:lumMod val="60000"/>
            <a:lumOff val="40000"/>
          </a:srgbClr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Source Uncertainty to KOC Converter, for use by systems applying the "EPA" source box or source circle construct.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Instructions:</a:t>
          </a:r>
        </a:p>
        <a:p>
          <a:pPr marL="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1. Enter nominal altitude, up/down bounds, zenith angle, radius of source box.</a:t>
          </a:r>
        </a:p>
        <a:p>
          <a:pPr marL="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2. Read addition to KOC at the bottom.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For operations at a single altitude, enter "0" for up/down bounds. For operations at sea level enter "0" for nominal altitude.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For circle radius "r" incribed about a square of sides "c", use the following:</a:t>
          </a:r>
        </a:p>
        <a:p>
          <a:pPr marL="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 = c * 0.70711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e.g. for a 10 km x 10 km operating box</a:t>
          </a:r>
        </a:p>
        <a:p>
          <a:pPr marL="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 = 10 * 0.70711 = 7.0711 km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Conversions</a:t>
          </a:r>
        </a:p>
        <a:p>
          <a:pPr marL="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1 km = 0.539957 nautical miles (nmi)</a:t>
          </a:r>
        </a:p>
        <a:p>
          <a:pPr marL="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1 nmi = 1.852 km</a:t>
          </a:r>
        </a:p>
        <a:p>
          <a:pPr marL="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Zenith angle "z" is measured from vertical. It's the converse of pointing elevation. When dealing with a pointing elevation range, use the smallest "z" value (i.e. highest pointing elevation)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97"/>
  <sheetViews>
    <sheetView tabSelected="1" zoomScale="110" zoomScaleNormal="110" workbookViewId="0">
      <selection activeCell="D22" sqref="D22"/>
    </sheetView>
  </sheetViews>
  <sheetFormatPr defaultColWidth="8.85546875" defaultRowHeight="15" x14ac:dyDescent="0.25"/>
  <cols>
    <col min="1" max="1" width="28.5703125" style="1" customWidth="1"/>
    <col min="2" max="2" width="11" style="1" bestFit="1" customWidth="1"/>
    <col min="3" max="3" width="8.85546875" style="1"/>
    <col min="4" max="4" width="9.28515625" style="1" bestFit="1" customWidth="1"/>
    <col min="5" max="5" width="2.7109375" style="1" customWidth="1"/>
    <col min="6" max="6" width="11" style="1" bestFit="1" customWidth="1"/>
    <col min="7" max="7" width="12" style="1" bestFit="1" customWidth="1"/>
    <col min="8" max="9" width="12" style="1" customWidth="1"/>
    <col min="10" max="10" width="8.85546875" style="1"/>
    <col min="11" max="11" width="27.7109375" style="1" customWidth="1"/>
    <col min="12" max="13" width="8.85546875" style="1"/>
    <col min="14" max="14" width="11.5703125" style="1" customWidth="1"/>
    <col min="15" max="15" width="8.85546875" style="1"/>
    <col min="16" max="16" width="11.28515625" style="1" customWidth="1"/>
    <col min="17" max="17" width="10.5703125" style="1" bestFit="1" customWidth="1"/>
    <col min="18" max="16384" width="8.85546875" style="1"/>
  </cols>
  <sheetData>
    <row r="1" spans="1:17" ht="15.75" thickBot="1" x14ac:dyDescent="0.3"/>
    <row r="2" spans="1:17" x14ac:dyDescent="0.25">
      <c r="A2" s="7" t="s">
        <v>27</v>
      </c>
      <c r="B2" s="8"/>
      <c r="C2" s="9"/>
      <c r="K2" s="15" t="s">
        <v>138</v>
      </c>
      <c r="L2" s="8"/>
      <c r="M2" s="8"/>
      <c r="N2" s="8"/>
      <c r="O2" s="8"/>
      <c r="P2" s="8"/>
      <c r="Q2" s="9"/>
    </row>
    <row r="3" spans="1:17" x14ac:dyDescent="0.25">
      <c r="A3" s="10" t="s">
        <v>28</v>
      </c>
      <c r="B3" s="2"/>
      <c r="C3" s="11"/>
      <c r="G3" s="1">
        <f>SIN(RADIANS(30))</f>
        <v>0.49999999999999994</v>
      </c>
      <c r="K3" s="54"/>
      <c r="L3" s="1" t="s">
        <v>70</v>
      </c>
      <c r="Q3" s="11"/>
    </row>
    <row r="4" spans="1:17" x14ac:dyDescent="0.25">
      <c r="A4" s="10" t="s">
        <v>57</v>
      </c>
      <c r="B4" s="55"/>
      <c r="C4" s="11"/>
      <c r="K4" s="10" t="s">
        <v>139</v>
      </c>
      <c r="L4" s="2">
        <v>160</v>
      </c>
      <c r="M4" s="1" t="s">
        <v>164</v>
      </c>
      <c r="Q4" s="11"/>
    </row>
    <row r="5" spans="1:17" x14ac:dyDescent="0.25">
      <c r="A5" s="10" t="s">
        <v>58</v>
      </c>
      <c r="B5" s="60"/>
      <c r="C5" s="11"/>
      <c r="G5" s="1">
        <f>SQRT(0.25*0.25+0.25*0.25+0.5*(0.25*0.25))</f>
        <v>0.39528470752104744</v>
      </c>
      <c r="K5" s="10"/>
      <c r="L5" t="s">
        <v>125</v>
      </c>
      <c r="M5" t="s">
        <v>140</v>
      </c>
      <c r="N5" s="3" t="s">
        <v>141</v>
      </c>
      <c r="O5" t="s">
        <v>125</v>
      </c>
      <c r="P5" s="1" t="s">
        <v>126</v>
      </c>
      <c r="Q5" s="11"/>
    </row>
    <row r="6" spans="1:17" x14ac:dyDescent="0.25">
      <c r="A6" s="10" t="s">
        <v>55</v>
      </c>
      <c r="B6" s="35"/>
      <c r="C6" s="11"/>
      <c r="G6" s="1">
        <f>SQRT(0.25*0.25+0.25*0.25+0.25*0.25)</f>
        <v>0.4330127018922193</v>
      </c>
      <c r="K6" s="10" t="s">
        <v>142</v>
      </c>
      <c r="L6" s="2">
        <v>5</v>
      </c>
      <c r="M6" s="2"/>
      <c r="N6" s="2"/>
      <c r="O6" s="56">
        <f>IF(AND(L6&lt;&gt;"",M6&lt;&gt;""),"err",IF(AND(M6&lt;&gt;"",N6&lt;&gt;""),"err",IF(AND(L6&lt;&gt;"",N6&lt;&gt;""),"err",IF(L6&lt;&gt;"",L6,IF(M6&lt;&gt;"",M6*1609.344,IF(N6&lt;&gt;"",N6*0.3048,0))))))</f>
        <v>5</v>
      </c>
      <c r="P6" s="56">
        <f>O6*3.2808399</f>
        <v>16.404199500000001</v>
      </c>
      <c r="Q6" s="11"/>
    </row>
    <row r="7" spans="1:17" x14ac:dyDescent="0.25">
      <c r="A7" s="10" t="s">
        <v>56</v>
      </c>
      <c r="B7" s="29"/>
      <c r="C7" s="11"/>
      <c r="K7" s="18"/>
      <c r="N7" t="s">
        <v>3</v>
      </c>
      <c r="O7" t="s">
        <v>0</v>
      </c>
      <c r="P7" s="3" t="s">
        <v>1</v>
      </c>
      <c r="Q7" s="19" t="s">
        <v>2</v>
      </c>
    </row>
    <row r="8" spans="1:17" ht="15.75" thickBot="1" x14ac:dyDescent="0.3">
      <c r="A8" s="12"/>
      <c r="B8" s="13"/>
      <c r="C8" s="14"/>
      <c r="K8" s="20" t="s">
        <v>124</v>
      </c>
      <c r="L8" s="21"/>
      <c r="M8" s="21"/>
      <c r="N8" s="59">
        <f>ATAN2(L4,O6/1000)</f>
        <v>3.1249999989827474E-5</v>
      </c>
      <c r="O8" s="59">
        <f>N8*1000</f>
        <v>3.1249999989827474E-2</v>
      </c>
      <c r="P8" s="99">
        <f>O8*1000</f>
        <v>31.249999989827472</v>
      </c>
      <c r="Q8" s="100">
        <f>DEGREES(N8)</f>
        <v>1.7904931092009798E-3</v>
      </c>
    </row>
    <row r="10" spans="1:17" ht="15.75" thickBot="1" x14ac:dyDescent="0.3"/>
    <row r="11" spans="1:17" x14ac:dyDescent="0.25">
      <c r="A11"/>
      <c r="B11" t="s">
        <v>0</v>
      </c>
      <c r="C11" s="3" t="s">
        <v>1</v>
      </c>
      <c r="D11" t="s">
        <v>2</v>
      </c>
      <c r="H11" s="34" t="s">
        <v>3</v>
      </c>
      <c r="I11" s="34" t="s">
        <v>2</v>
      </c>
      <c r="K11" s="15" t="s">
        <v>134</v>
      </c>
      <c r="L11" s="8"/>
      <c r="M11" s="8"/>
      <c r="N11" s="8"/>
      <c r="O11" s="8"/>
      <c r="P11" s="8"/>
      <c r="Q11" s="9"/>
    </row>
    <row r="12" spans="1:17" x14ac:dyDescent="0.25">
      <c r="A12" s="34" t="s">
        <v>4</v>
      </c>
      <c r="B12" s="2"/>
      <c r="C12" s="103"/>
      <c r="D12" s="2"/>
      <c r="F12"/>
      <c r="G12"/>
      <c r="H12" s="61">
        <f>IF(AND(B12&lt;&gt;"",C12&lt;&gt;""),"err",IF(AND(C12&lt;&gt;"",D12&lt;&gt;""),"err",IF(AND(B12&lt;&gt;"",D12&lt;&gt;""),"err",IF(B12&lt;&gt;"",B12/1000,IF(C12&lt;&gt;"",C12/1000000,IF(D12&lt;&gt;"",RADIANS(D12),0))))))</f>
        <v>0</v>
      </c>
      <c r="I12" s="61">
        <f>IF(H12&lt;&gt;"",DEGREES(H12),"")</f>
        <v>0</v>
      </c>
      <c r="K12" s="54"/>
      <c r="L12" s="1" t="s">
        <v>70</v>
      </c>
      <c r="M12" s="1" t="s">
        <v>122</v>
      </c>
      <c r="Q12" s="11"/>
    </row>
    <row r="13" spans="1:17" x14ac:dyDescent="0.25">
      <c r="A13"/>
      <c r="F13" t="s">
        <v>3</v>
      </c>
      <c r="G13" t="s">
        <v>2</v>
      </c>
      <c r="H13" s="4"/>
      <c r="I13" s="4"/>
      <c r="K13" s="10" t="s">
        <v>121</v>
      </c>
      <c r="L13" s="2">
        <v>160</v>
      </c>
      <c r="M13" s="2">
        <v>7.8109999999999999</v>
      </c>
      <c r="N13" s="1" t="s">
        <v>165</v>
      </c>
      <c r="Q13" s="11"/>
    </row>
    <row r="14" spans="1:17" x14ac:dyDescent="0.25">
      <c r="A14" t="s">
        <v>50</v>
      </c>
      <c r="B14" s="2"/>
      <c r="C14" s="2"/>
      <c r="D14" s="102"/>
      <c r="F14" s="56">
        <f t="shared" ref="F14:F19" si="0">IF(AND(B14&lt;&gt;"",C14&lt;&gt;""),"err",IF(AND(C14&lt;&gt;"",D14&lt;&gt;""),"err",IF(AND(B14&lt;&gt;"",D14&lt;&gt;""),"err",IF(B14&lt;&gt;"",B14/1000,IF(C14&lt;&gt;"",C14/1000000,IF(D14&lt;&gt;"",RADIANS(D14),0))))))</f>
        <v>0</v>
      </c>
      <c r="G14" s="56">
        <f t="shared" ref="G14:I20" si="1">IF(F14&lt;&gt;"",DEGREES(F14),"")</f>
        <v>0</v>
      </c>
      <c r="H14" s="4"/>
      <c r="I14" s="4"/>
      <c r="K14" s="10"/>
      <c r="L14" t="s">
        <v>10</v>
      </c>
      <c r="M14" t="s">
        <v>11</v>
      </c>
      <c r="N14" s="3" t="s">
        <v>12</v>
      </c>
      <c r="O14" t="s">
        <v>10</v>
      </c>
      <c r="Q14" s="11"/>
    </row>
    <row r="15" spans="1:17" x14ac:dyDescent="0.25">
      <c r="A15" t="s">
        <v>49</v>
      </c>
      <c r="B15" s="2"/>
      <c r="C15" s="2"/>
      <c r="D15" s="102"/>
      <c r="F15" s="56">
        <f t="shared" si="0"/>
        <v>0</v>
      </c>
      <c r="G15" s="56">
        <f t="shared" si="1"/>
        <v>0</v>
      </c>
      <c r="H15" s="4"/>
      <c r="I15" s="4"/>
      <c r="K15" s="10" t="s">
        <v>143</v>
      </c>
      <c r="L15" s="2"/>
      <c r="M15" s="2">
        <v>1</v>
      </c>
      <c r="N15" s="2"/>
      <c r="O15" s="56">
        <f>IF(AND(L15&lt;&gt;"",M15&lt;&gt;""),"err",IF(AND(M15&lt;&gt;"",N15&lt;&gt;""),"err",IF(AND(L15&lt;&gt;"",N15&lt;&gt;""),"err",IF(L15&lt;&gt;"",L15,IF(M15&lt;&gt;"",M15/1000,IF(N15&lt;&gt;"",N15/1000000,0))))))</f>
        <v>1E-3</v>
      </c>
      <c r="Q15" s="11"/>
    </row>
    <row r="16" spans="1:17" x14ac:dyDescent="0.25">
      <c r="A16" t="s">
        <v>51</v>
      </c>
      <c r="B16" s="2"/>
      <c r="C16" s="2"/>
      <c r="D16" s="2"/>
      <c r="F16" s="56">
        <f t="shared" si="0"/>
        <v>0</v>
      </c>
      <c r="G16" s="57">
        <f t="shared" si="1"/>
        <v>0</v>
      </c>
      <c r="H16" s="4"/>
      <c r="I16" s="4"/>
      <c r="K16" s="54"/>
      <c r="N16" s="1" t="s">
        <v>70</v>
      </c>
      <c r="O16" t="s">
        <v>125</v>
      </c>
      <c r="P16" s="1" t="s">
        <v>126</v>
      </c>
      <c r="Q16" s="11" t="s">
        <v>135</v>
      </c>
    </row>
    <row r="17" spans="1:18" x14ac:dyDescent="0.25">
      <c r="A17" t="s">
        <v>52</v>
      </c>
      <c r="B17" s="2"/>
      <c r="C17" s="2"/>
      <c r="D17" s="2"/>
      <c r="F17" s="56">
        <f t="shared" si="0"/>
        <v>0</v>
      </c>
      <c r="G17" s="56">
        <f t="shared" si="1"/>
        <v>0</v>
      </c>
      <c r="H17" s="4"/>
      <c r="I17" s="4"/>
      <c r="K17" s="10" t="s">
        <v>123</v>
      </c>
      <c r="N17" s="56">
        <f>M13*O15</f>
        <v>7.8110000000000002E-3</v>
      </c>
      <c r="O17" s="56">
        <f>N17*1000</f>
        <v>7.8109999999999999</v>
      </c>
      <c r="P17" s="56">
        <f>3.2808399*O17</f>
        <v>25.626640458900003</v>
      </c>
      <c r="Q17" s="58">
        <f>P17/6076.11549</f>
        <v>4.2176025951244723E-3</v>
      </c>
    </row>
    <row r="18" spans="1:18" x14ac:dyDescent="0.25">
      <c r="A18" t="s">
        <v>166</v>
      </c>
      <c r="B18" s="2"/>
      <c r="C18" s="2"/>
      <c r="D18" s="2"/>
      <c r="F18" s="56">
        <f t="shared" si="0"/>
        <v>0</v>
      </c>
      <c r="G18" s="56">
        <f t="shared" si="1"/>
        <v>0</v>
      </c>
      <c r="H18" s="4"/>
      <c r="I18" s="4"/>
      <c r="K18" s="18"/>
      <c r="N18" t="s">
        <v>3</v>
      </c>
      <c r="O18" t="s">
        <v>0</v>
      </c>
      <c r="P18" s="3" t="s">
        <v>1</v>
      </c>
      <c r="Q18" s="19" t="s">
        <v>2</v>
      </c>
    </row>
    <row r="19" spans="1:18" ht="15.75" thickBot="1" x14ac:dyDescent="0.3">
      <c r="A19" t="s">
        <v>53</v>
      </c>
      <c r="B19" s="2"/>
      <c r="C19" s="2"/>
      <c r="D19" s="2"/>
      <c r="F19" s="56">
        <f t="shared" si="0"/>
        <v>0</v>
      </c>
      <c r="G19" s="56">
        <f t="shared" si="1"/>
        <v>0</v>
      </c>
      <c r="H19" s="4"/>
      <c r="I19" s="4"/>
      <c r="K19" s="20" t="s">
        <v>124</v>
      </c>
      <c r="L19" s="21"/>
      <c r="M19" s="21"/>
      <c r="N19" s="59">
        <f>ATAN2(L13,N17)</f>
        <v>4.8818749961217245E-5</v>
      </c>
      <c r="O19" s="59">
        <f>N19*1000</f>
        <v>4.8818749961217246E-2</v>
      </c>
      <c r="P19" s="59">
        <f>O19*1000</f>
        <v>48.818749961217243</v>
      </c>
      <c r="Q19" s="101">
        <f>DEGREES(N19)</f>
        <v>2.7971083338821996E-3</v>
      </c>
    </row>
    <row r="20" spans="1:18" x14ac:dyDescent="0.25">
      <c r="A20" s="32" t="s">
        <v>54</v>
      </c>
      <c r="B20" s="30"/>
      <c r="C20" s="30"/>
      <c r="D20" s="30"/>
      <c r="E20" s="30"/>
      <c r="F20" s="31"/>
      <c r="H20" s="62">
        <f>SQRT(F14^2+F15^2+F16^2+F17^2+F18^2+F19^2)</f>
        <v>0</v>
      </c>
      <c r="I20" s="62">
        <f t="shared" si="1"/>
        <v>0</v>
      </c>
    </row>
    <row r="21" spans="1:18" ht="15" customHeight="1" thickBot="1" x14ac:dyDescent="0.3">
      <c r="A21" s="5"/>
      <c r="F21"/>
      <c r="G21" s="4"/>
      <c r="H21" s="4"/>
      <c r="I21" s="4"/>
    </row>
    <row r="22" spans="1:18" x14ac:dyDescent="0.25">
      <c r="A22" s="38" t="s">
        <v>65</v>
      </c>
      <c r="B22" s="2"/>
      <c r="C22" s="2"/>
      <c r="D22" s="104"/>
      <c r="F22"/>
      <c r="G22"/>
      <c r="H22" s="61">
        <f>IF(AND(B22&lt;&gt;"",C22&lt;&gt;""),"err",IF(AND(C22&lt;&gt;"",D22&lt;&gt;""),"err",IF(AND(B22&lt;&gt;"",D22&lt;&gt;""),"err",IF(B22&lt;&gt;"",B22/1000,IF(C22&lt;&gt;"",C22/1000000,IF(D22&lt;&gt;"",RADIANS(D22),0))))))</f>
        <v>0</v>
      </c>
      <c r="I22" s="61">
        <f>IF(H22&lt;&gt;"",DEGREES(H22),"")</f>
        <v>0</v>
      </c>
      <c r="K22" s="15" t="s">
        <v>62</v>
      </c>
      <c r="L22" s="16"/>
      <c r="M22" s="16"/>
      <c r="N22" s="16"/>
      <c r="O22" s="16"/>
      <c r="P22" s="16"/>
      <c r="Q22" s="17"/>
      <c r="R22"/>
    </row>
    <row r="23" spans="1:18" ht="15.75" thickBot="1" x14ac:dyDescent="0.3">
      <c r="A23" s="6"/>
      <c r="F23"/>
      <c r="G23" s="98" t="s">
        <v>163</v>
      </c>
      <c r="H23" s="39"/>
      <c r="I23" s="39"/>
      <c r="K23" s="18"/>
      <c r="L23" t="s">
        <v>30</v>
      </c>
      <c r="M23" t="s">
        <v>31</v>
      </c>
      <c r="N23" t="s">
        <v>32</v>
      </c>
      <c r="O23"/>
      <c r="P23" t="s">
        <v>30</v>
      </c>
      <c r="Q23" s="19" t="s">
        <v>32</v>
      </c>
      <c r="R23"/>
    </row>
    <row r="24" spans="1:18" ht="15.75" thickTop="1" x14ac:dyDescent="0.25">
      <c r="A24" s="32" t="s">
        <v>66</v>
      </c>
      <c r="B24" s="30"/>
      <c r="C24" s="30"/>
      <c r="D24" s="30"/>
      <c r="E24" s="30"/>
      <c r="F24" s="31"/>
      <c r="G24" s="33"/>
      <c r="H24" s="41">
        <f>H12+H20+H22</f>
        <v>0</v>
      </c>
      <c r="I24" s="41">
        <f>IF(H24&lt;&gt;"",DEGREES(H24),"")</f>
        <v>0</v>
      </c>
      <c r="K24" s="25" t="s">
        <v>29</v>
      </c>
      <c r="L24" s="2">
        <v>100</v>
      </c>
      <c r="M24" s="2"/>
      <c r="N24" s="2"/>
      <c r="O24"/>
      <c r="P24" s="56">
        <f>IF(AND(L24&lt;&gt;"",M24&lt;&gt;""),"err",IF(AND(M24&lt;&gt;"",N24&lt;&gt;""),"err",IF(AND(L24&lt;&gt;"",N24&lt;&gt;""),"err",IF(L24&lt;&gt;"",L24,IF(M24&lt;&gt;"",M24/10,IF(N24&lt;&gt;"",N24/0.2953,0))))))</f>
        <v>100</v>
      </c>
      <c r="Q24" s="58">
        <f>IF(P24&lt;&gt;"",P24*0.2953,"")</f>
        <v>29.53</v>
      </c>
      <c r="R24"/>
    </row>
    <row r="25" spans="1:18" x14ac:dyDescent="0.25">
      <c r="A25"/>
      <c r="F25"/>
      <c r="G25"/>
      <c r="H25" s="4"/>
      <c r="I25" s="4"/>
      <c r="K25" s="25"/>
      <c r="L25" s="3" t="s">
        <v>34</v>
      </c>
      <c r="M25" s="3" t="s">
        <v>35</v>
      </c>
      <c r="N25" s="3" t="s">
        <v>36</v>
      </c>
      <c r="O25"/>
      <c r="P25" s="3" t="s">
        <v>34</v>
      </c>
      <c r="Q25" s="26" t="s">
        <v>35</v>
      </c>
      <c r="R25"/>
    </row>
    <row r="26" spans="1:18" x14ac:dyDescent="0.25">
      <c r="A26"/>
      <c r="B26" t="s">
        <v>5</v>
      </c>
      <c r="C26" s="3" t="s">
        <v>6</v>
      </c>
      <c r="D26" t="s">
        <v>7</v>
      </c>
      <c r="F26" t="s">
        <v>8</v>
      </c>
      <c r="G26" t="s">
        <v>7</v>
      </c>
      <c r="H26" s="4"/>
      <c r="I26" s="4"/>
      <c r="K26" s="25" t="s">
        <v>33</v>
      </c>
      <c r="L26" s="2">
        <v>0</v>
      </c>
      <c r="M26" s="2"/>
      <c r="N26" s="2"/>
      <c r="O26"/>
      <c r="P26" s="56">
        <f>IF(AND(L26&lt;&gt;"",M26&lt;&gt;""),"err",IF(AND(M26&lt;&gt;"",N26&lt;&gt;""),"err",IF(AND(L26&lt;&gt;"",N26&lt;&gt;""),"err",IF(L26&lt;&gt;"",L26,IF(M26&lt;&gt;"",(M26-32)/1.8,IF(N26&lt;&gt;"",(N26-273.15),0))))))</f>
        <v>0</v>
      </c>
      <c r="Q26" s="58">
        <f>IF(P26&lt;&gt;"",P26*1.8+32,"")</f>
        <v>32</v>
      </c>
      <c r="R26"/>
    </row>
    <row r="27" spans="1:18" x14ac:dyDescent="0.25">
      <c r="A27" t="s">
        <v>47</v>
      </c>
      <c r="B27" s="2"/>
      <c r="C27" s="2"/>
      <c r="D27" s="2"/>
      <c r="F27" s="56">
        <f>IF(AND(B27&lt;&gt;"",C27&lt;&gt;""),"err",IF(AND(C27&lt;&gt;"",D27&lt;&gt;""),"err",IF(AND(B27&lt;&gt;"",D27&lt;&gt;""),"err",IF(B27&lt;&gt;"",B27/1000,IF(C27&lt;&gt;"",C27/1000000,IF(D27&lt;&gt;"",RADIANS(D27),0))))))</f>
        <v>0</v>
      </c>
      <c r="G27" s="56">
        <f>IF(F27&lt;&gt;"",DEGREES(F27),"")</f>
        <v>0</v>
      </c>
      <c r="H27" s="4"/>
      <c r="I27" s="4"/>
      <c r="K27" s="25"/>
      <c r="L27" t="s">
        <v>3</v>
      </c>
      <c r="M27" t="s">
        <v>2</v>
      </c>
      <c r="N27" t="s">
        <v>25</v>
      </c>
      <c r="O27"/>
      <c r="P27" t="s">
        <v>3</v>
      </c>
      <c r="Q27" s="19" t="s">
        <v>2</v>
      </c>
      <c r="R27"/>
    </row>
    <row r="28" spans="1:18" x14ac:dyDescent="0.25">
      <c r="A28"/>
      <c r="B28" t="s">
        <v>10</v>
      </c>
      <c r="C28" t="s">
        <v>11</v>
      </c>
      <c r="D28" s="3" t="s">
        <v>12</v>
      </c>
      <c r="F28" t="s">
        <v>10</v>
      </c>
      <c r="G28"/>
      <c r="H28" s="4"/>
      <c r="I28" s="4"/>
      <c r="K28" s="25" t="s">
        <v>37</v>
      </c>
      <c r="L28" s="2"/>
      <c r="M28" s="2">
        <v>0</v>
      </c>
      <c r="N28" s="2"/>
      <c r="O28"/>
      <c r="P28" s="56">
        <f>IF(AND(L28&lt;&gt;"",M28&lt;&gt;""),"err",IF(AND(M28&lt;&gt;"",N28&lt;&gt;""),"err",IF(AND(L28&lt;&gt;"",N28&lt;&gt;""),"err",IF(L28&lt;&gt;"",L28,IF(M28&lt;&gt;"",RADIANS(M28),IF(N28&lt;&gt;"",RADIANS(N28/60),0))))))</f>
        <v>0</v>
      </c>
      <c r="Q28" s="58">
        <f t="shared" ref="Q28" si="2">IF(P28&lt;&gt;"",DEGREES(P28),"")</f>
        <v>0</v>
      </c>
      <c r="R28"/>
    </row>
    <row r="29" spans="1:18" x14ac:dyDescent="0.25">
      <c r="A29" t="s">
        <v>67</v>
      </c>
      <c r="B29" s="2"/>
      <c r="C29" s="2"/>
      <c r="D29" s="2"/>
      <c r="F29" s="56">
        <f>IF(AND(B29&lt;&gt;"",C29&lt;&gt;""),"err",IF(AND(C29&lt;&gt;"",D29&lt;&gt;""),"err",IF(AND(B29&lt;&gt;"",D29&lt;&gt;""),"err",IF(B29&lt;&gt;"",B29,IF(C29&lt;&gt;"",C29/1000,IF(D29&lt;&gt;"",D29/1000000,0))))))</f>
        <v>0</v>
      </c>
      <c r="G29"/>
      <c r="H29" s="4"/>
      <c r="I29" s="4"/>
      <c r="K29" s="25"/>
      <c r="L29"/>
      <c r="M29"/>
      <c r="N29"/>
      <c r="O29"/>
      <c r="P29"/>
      <c r="Q29" s="19"/>
      <c r="R29"/>
    </row>
    <row r="30" spans="1:18" x14ac:dyDescent="0.25">
      <c r="A30"/>
      <c r="H30" s="4"/>
      <c r="I30" s="4"/>
      <c r="K30" s="18"/>
      <c r="L30" t="s">
        <v>3</v>
      </c>
      <c r="M30" s="3" t="s">
        <v>0</v>
      </c>
      <c r="N30" t="s">
        <v>1</v>
      </c>
      <c r="O30" t="s">
        <v>2</v>
      </c>
      <c r="P30" t="s">
        <v>25</v>
      </c>
      <c r="Q30" s="19" t="s">
        <v>26</v>
      </c>
      <c r="R30"/>
    </row>
    <row r="31" spans="1:18" ht="15" customHeight="1" x14ac:dyDescent="0.25">
      <c r="A31" s="32" t="s">
        <v>60</v>
      </c>
      <c r="B31" s="30"/>
      <c r="C31" s="30"/>
      <c r="D31" s="30"/>
      <c r="E31" s="30"/>
      <c r="F31" s="31"/>
      <c r="G31" s="31"/>
      <c r="H31" s="62">
        <f>F29*F27</f>
        <v>0</v>
      </c>
      <c r="I31" s="62">
        <f>IF(H31&lt;&gt;"",DEGREES(H31),"")</f>
        <v>0</v>
      </c>
      <c r="K31" s="44" t="s">
        <v>151</v>
      </c>
      <c r="L31" s="63">
        <f>0.0008150630006*(P24/(P26+273))*(1/TAN(P28+0.002226753338/(P28+0.07679448708)))</f>
        <v>1.0293539234917749E-2</v>
      </c>
      <c r="M31" s="63">
        <f>L31*1000</f>
        <v>10.29353923491775</v>
      </c>
      <c r="N31" s="63">
        <f>L31*1000000</f>
        <v>10293.539234917749</v>
      </c>
      <c r="O31" s="63">
        <f>DEGREES(L31)</f>
        <v>0.58977635441310949</v>
      </c>
      <c r="P31" s="63">
        <f>O31*60</f>
        <v>35.386581264786571</v>
      </c>
      <c r="Q31" s="66">
        <f>O31*3600</f>
        <v>2123.194875887194</v>
      </c>
      <c r="R31"/>
    </row>
    <row r="32" spans="1:18" x14ac:dyDescent="0.25">
      <c r="A32"/>
      <c r="F32"/>
      <c r="G32"/>
      <c r="H32" s="4"/>
      <c r="I32" s="4"/>
      <c r="K32" s="18" t="s">
        <v>39</v>
      </c>
      <c r="L32"/>
      <c r="M32"/>
      <c r="N32"/>
      <c r="O32"/>
      <c r="P32"/>
      <c r="Q32" s="19"/>
      <c r="R32"/>
    </row>
    <row r="33" spans="1:18" x14ac:dyDescent="0.25">
      <c r="A33" t="s">
        <v>48</v>
      </c>
      <c r="B33" t="s">
        <v>0</v>
      </c>
      <c r="C33" s="3" t="s">
        <v>1</v>
      </c>
      <c r="D33" t="s">
        <v>2</v>
      </c>
      <c r="F33" t="s">
        <v>3</v>
      </c>
      <c r="G33" t="s">
        <v>2</v>
      </c>
      <c r="H33" s="4"/>
      <c r="I33" s="4"/>
      <c r="K33" s="18" t="s">
        <v>40</v>
      </c>
      <c r="L33"/>
      <c r="M33"/>
      <c r="N33"/>
      <c r="O33"/>
      <c r="P33"/>
      <c r="Q33" s="19"/>
      <c r="R33"/>
    </row>
    <row r="34" spans="1:18" x14ac:dyDescent="0.25">
      <c r="A34" s="5" t="s">
        <v>9</v>
      </c>
      <c r="B34" s="2"/>
      <c r="C34" s="2"/>
      <c r="D34" s="2"/>
      <c r="F34" s="56">
        <f t="shared" ref="F34:F38" si="3">IF(AND(B34&lt;&gt;"",C34&lt;&gt;""),"err",IF(AND(C34&lt;&gt;"",D34&lt;&gt;""),"err",IF(AND(B34&lt;&gt;"",D34&lt;&gt;""),"err",IF(B34&lt;&gt;"",B34/1000,IF(C34&lt;&gt;"",C34/1000000,IF(D34&lt;&gt;"",RADIANS(D34),0))))))</f>
        <v>0</v>
      </c>
      <c r="G34" s="56">
        <f t="shared" ref="G34:I39" si="4">IF(F34&lt;&gt;"",DEGREES(F34),"")</f>
        <v>0</v>
      </c>
      <c r="H34" s="4"/>
      <c r="I34" s="4"/>
      <c r="K34" s="18" t="s">
        <v>41</v>
      </c>
      <c r="L34"/>
      <c r="M34"/>
      <c r="N34"/>
      <c r="O34"/>
      <c r="P34"/>
      <c r="Q34" s="19"/>
    </row>
    <row r="35" spans="1:18" ht="15.75" thickBot="1" x14ac:dyDescent="0.3">
      <c r="A35" s="5" t="s">
        <v>43</v>
      </c>
      <c r="B35" s="2"/>
      <c r="C35" s="2"/>
      <c r="D35" s="2"/>
      <c r="F35" s="56">
        <f t="shared" si="3"/>
        <v>0</v>
      </c>
      <c r="G35" s="56">
        <f t="shared" si="4"/>
        <v>0</v>
      </c>
      <c r="H35" s="4"/>
      <c r="I35" s="4"/>
      <c r="K35" s="23" t="s">
        <v>42</v>
      </c>
      <c r="L35" s="27"/>
      <c r="M35" s="27"/>
      <c r="N35" s="27"/>
      <c r="O35" s="27"/>
      <c r="P35" s="27"/>
      <c r="Q35" s="28"/>
    </row>
    <row r="36" spans="1:18" x14ac:dyDescent="0.25">
      <c r="A36" s="5" t="s">
        <v>44</v>
      </c>
      <c r="B36" s="2"/>
      <c r="C36" s="2"/>
      <c r="D36" s="2"/>
      <c r="F36" s="56">
        <f t="shared" si="3"/>
        <v>0</v>
      </c>
      <c r="G36" s="56">
        <f t="shared" si="4"/>
        <v>0</v>
      </c>
      <c r="H36" s="4"/>
      <c r="I36" s="4"/>
    </row>
    <row r="37" spans="1:18" ht="15.75" thickBot="1" x14ac:dyDescent="0.3">
      <c r="A37" s="5" t="s">
        <v>45</v>
      </c>
      <c r="B37" s="2"/>
      <c r="C37" s="2"/>
      <c r="D37" s="2"/>
      <c r="F37" s="56">
        <f t="shared" si="3"/>
        <v>0</v>
      </c>
      <c r="G37" s="56">
        <f t="shared" si="4"/>
        <v>0</v>
      </c>
      <c r="H37" s="4"/>
      <c r="I37" s="4"/>
    </row>
    <row r="38" spans="1:18" x14ac:dyDescent="0.25">
      <c r="A38" s="5" t="s">
        <v>46</v>
      </c>
      <c r="B38" s="2"/>
      <c r="C38" s="2"/>
      <c r="D38" s="2"/>
      <c r="F38" s="56">
        <f t="shared" si="3"/>
        <v>0</v>
      </c>
      <c r="G38" s="56">
        <f t="shared" si="4"/>
        <v>0</v>
      </c>
      <c r="H38" s="4"/>
      <c r="I38" s="4"/>
      <c r="K38" s="78" t="s">
        <v>152</v>
      </c>
      <c r="L38" s="8"/>
      <c r="M38" s="8"/>
      <c r="N38" s="8"/>
      <c r="O38" s="8"/>
      <c r="P38" s="8"/>
      <c r="Q38" s="9"/>
    </row>
    <row r="39" spans="1:18" x14ac:dyDescent="0.25">
      <c r="A39" s="32" t="s">
        <v>61</v>
      </c>
      <c r="B39" s="30"/>
      <c r="C39" s="30"/>
      <c r="D39" s="30"/>
      <c r="E39" s="30"/>
      <c r="F39" s="31"/>
      <c r="G39" s="31"/>
      <c r="H39" s="62">
        <f>MAX(F34:F38)</f>
        <v>0</v>
      </c>
      <c r="I39" s="62">
        <f t="shared" si="4"/>
        <v>0</v>
      </c>
      <c r="K39" s="54"/>
      <c r="L39" s="79" t="s">
        <v>154</v>
      </c>
      <c r="M39" s="1" t="s">
        <v>155</v>
      </c>
      <c r="N39" s="1" t="s">
        <v>156</v>
      </c>
      <c r="P39" s="1" t="s">
        <v>158</v>
      </c>
      <c r="Q39" s="11"/>
    </row>
    <row r="40" spans="1:18" x14ac:dyDescent="0.25">
      <c r="H40" s="40"/>
      <c r="I40" s="40"/>
      <c r="K40" s="80" t="s">
        <v>153</v>
      </c>
      <c r="L40" s="76">
        <v>2.3E-2</v>
      </c>
      <c r="M40" s="76">
        <v>3.5999999999999997E-2</v>
      </c>
      <c r="N40" s="76">
        <v>0.12</v>
      </c>
      <c r="P40" s="77">
        <f>L40+M40+N40</f>
        <v>0.17899999999999999</v>
      </c>
      <c r="Q40" s="11"/>
    </row>
    <row r="41" spans="1:18" ht="15.75" thickBot="1" x14ac:dyDescent="0.3">
      <c r="F41"/>
      <c r="G41" s="98" t="s">
        <v>163</v>
      </c>
      <c r="H41" s="4"/>
      <c r="I41" s="4"/>
      <c r="K41" s="54"/>
      <c r="L41" t="s">
        <v>0</v>
      </c>
      <c r="M41" s="3" t="s">
        <v>1</v>
      </c>
      <c r="N41" t="s">
        <v>2</v>
      </c>
      <c r="P41" t="s">
        <v>3</v>
      </c>
      <c r="Q41" s="19" t="s">
        <v>2</v>
      </c>
    </row>
    <row r="42" spans="1:18" ht="15.75" thickTop="1" x14ac:dyDescent="0.25">
      <c r="A42" s="37" t="s">
        <v>59</v>
      </c>
      <c r="B42" s="30"/>
      <c r="C42" s="30"/>
      <c r="D42" s="30"/>
      <c r="E42" s="30"/>
      <c r="F42" s="36"/>
      <c r="G42" s="36"/>
      <c r="H42" s="42">
        <f>H39+H31+H24</f>
        <v>0</v>
      </c>
      <c r="I42" s="42">
        <f>IF(H42&lt;&gt;"",DEGREES(H42),"")</f>
        <v>0</v>
      </c>
      <c r="K42" s="54" t="s">
        <v>157</v>
      </c>
      <c r="L42" s="2"/>
      <c r="M42" s="2"/>
      <c r="N42" s="2">
        <f>O31</f>
        <v>0.58977635441310949</v>
      </c>
      <c r="P42" s="56">
        <f>IF(AND(L42&lt;&gt;"",M42&lt;&gt;""),"err",IF(AND(M42&lt;&gt;"",N42&lt;&gt;""),"err",IF(AND(L42&lt;&gt;"",N42&lt;&gt;""),"err",IF(L42&lt;&gt;"",L42/1000,IF(M42&lt;&gt;"",M42/1000000,IF(N42&lt;&gt;"",RADIANS(N42),0))))))</f>
        <v>1.0293539234917749E-2</v>
      </c>
      <c r="Q42" s="58">
        <f t="shared" ref="Q42" si="5">IF(P42&lt;&gt;"",DEGREES(P42),"")</f>
        <v>0.58977635441310949</v>
      </c>
    </row>
    <row r="43" spans="1:18" x14ac:dyDescent="0.25">
      <c r="K43" s="54"/>
      <c r="Q43" s="11"/>
    </row>
    <row r="44" spans="1:18" x14ac:dyDescent="0.25">
      <c r="A44" s="37" t="s">
        <v>68</v>
      </c>
      <c r="I44" s="46">
        <f>ROUNDUP(I42,1)</f>
        <v>0</v>
      </c>
      <c r="K44" s="18"/>
      <c r="L44" t="s">
        <v>3</v>
      </c>
      <c r="M44" s="3" t="s">
        <v>0</v>
      </c>
      <c r="N44" t="s">
        <v>1</v>
      </c>
      <c r="O44" t="s">
        <v>2</v>
      </c>
      <c r="P44" t="s">
        <v>25</v>
      </c>
      <c r="Q44" s="19" t="s">
        <v>26</v>
      </c>
    </row>
    <row r="45" spans="1:18" x14ac:dyDescent="0.25">
      <c r="K45" s="75" t="s">
        <v>159</v>
      </c>
      <c r="L45" s="63">
        <f>P40*P42</f>
        <v>1.842543523050277E-3</v>
      </c>
      <c r="M45" s="63">
        <f>L45*1000</f>
        <v>1.8425435230502769</v>
      </c>
      <c r="N45" s="63">
        <f>L45*1000000</f>
        <v>1842.5435230502769</v>
      </c>
      <c r="O45" s="63">
        <f>DEGREES(L45)</f>
        <v>0.10556996743994659</v>
      </c>
      <c r="P45" s="63">
        <f>O45*60</f>
        <v>6.3341980463967955</v>
      </c>
      <c r="Q45" s="66">
        <f>O45*3600</f>
        <v>380.05188278380774</v>
      </c>
    </row>
    <row r="46" spans="1:18" x14ac:dyDescent="0.25">
      <c r="K46" s="54"/>
      <c r="Q46" s="11"/>
    </row>
    <row r="47" spans="1:18" x14ac:dyDescent="0.25">
      <c r="K47" s="54" t="s">
        <v>39</v>
      </c>
      <c r="Q47" s="11"/>
    </row>
    <row r="48" spans="1:18" ht="15.75" x14ac:dyDescent="0.25">
      <c r="K48" s="54" t="s">
        <v>160</v>
      </c>
      <c r="Q48" s="11"/>
    </row>
    <row r="49" spans="2:17" x14ac:dyDescent="0.25">
      <c r="K49" s="54" t="s">
        <v>162</v>
      </c>
      <c r="Q49" s="11"/>
    </row>
    <row r="50" spans="2:17" ht="15.75" thickBot="1" x14ac:dyDescent="0.3">
      <c r="K50" s="12" t="s">
        <v>161</v>
      </c>
      <c r="L50" s="13"/>
      <c r="M50" s="13"/>
      <c r="N50" s="13"/>
      <c r="O50" s="13"/>
      <c r="P50" s="13"/>
      <c r="Q50" s="14"/>
    </row>
    <row r="52" spans="2:17" ht="15.75" thickBot="1" x14ac:dyDescent="0.3"/>
    <row r="53" spans="2:17" x14ac:dyDescent="0.25">
      <c r="K53" s="15" t="s">
        <v>63</v>
      </c>
      <c r="L53" s="8"/>
      <c r="M53" s="8"/>
      <c r="N53" s="8"/>
      <c r="O53" s="16"/>
      <c r="P53" s="16"/>
      <c r="Q53" s="17"/>
    </row>
    <row r="54" spans="2:17" x14ac:dyDescent="0.25">
      <c r="K54" s="18"/>
      <c r="L54" t="s">
        <v>20</v>
      </c>
      <c r="M54" s="3" t="s">
        <v>21</v>
      </c>
      <c r="N54" t="s">
        <v>22</v>
      </c>
      <c r="O54" t="s">
        <v>23</v>
      </c>
      <c r="P54" t="s">
        <v>22</v>
      </c>
      <c r="Q54" s="19"/>
    </row>
    <row r="55" spans="2:17" x14ac:dyDescent="0.25">
      <c r="K55" s="18" t="s">
        <v>19</v>
      </c>
      <c r="L55" s="2"/>
      <c r="M55" s="2">
        <v>58</v>
      </c>
      <c r="N55" s="2"/>
      <c r="O55" s="56">
        <f>IF(AND(L55&lt;&gt;"",M55&lt;&gt;""),"err",IF(AND(M55&lt;&gt;"",N55&lt;&gt;""),"err",IF(AND(L55&lt;&gt;"",N55&lt;&gt;""),"err",IF(L55&lt;&gt;"",L55/1000,IF(M55&lt;&gt;"",M55/1000000,IF(N55&lt;&gt;"",RADIANS(N55),0))))))</f>
        <v>5.8E-5</v>
      </c>
      <c r="P55" s="56">
        <f>IF(O55&lt;&gt;"",DEGREES(O55),"")</f>
        <v>3.323155211758775E-3</v>
      </c>
      <c r="Q55" s="19"/>
    </row>
    <row r="56" spans="2:17" x14ac:dyDescent="0.25">
      <c r="K56" s="18"/>
      <c r="L56" t="s">
        <v>10</v>
      </c>
      <c r="M56" t="s">
        <v>11</v>
      </c>
      <c r="N56" s="3" t="s">
        <v>12</v>
      </c>
      <c r="O56" t="s">
        <v>10</v>
      </c>
      <c r="P56"/>
      <c r="Q56" s="19"/>
    </row>
    <row r="57" spans="2:17" x14ac:dyDescent="0.25">
      <c r="B57" s="1">
        <v>7.3109999999999996E-5</v>
      </c>
      <c r="C57" s="1">
        <v>4.0509999999999997E-2</v>
      </c>
      <c r="D57" s="1">
        <f>B57+C57</f>
        <v>4.0583109999999999E-2</v>
      </c>
      <c r="K57" s="18" t="s">
        <v>18</v>
      </c>
      <c r="L57" s="2"/>
      <c r="M57" s="2">
        <v>22</v>
      </c>
      <c r="N57" s="2"/>
      <c r="O57" s="56">
        <f>IF(AND(L57&lt;&gt;"",M57&lt;&gt;""),"err",IF(AND(M57&lt;&gt;"",N57&lt;&gt;""),"err",IF(AND(L57&lt;&gt;"",N57&lt;&gt;""),"err",IF(L57&lt;&gt;"",L57,IF(M57&lt;&gt;"",M57/1000,IF(N57&lt;&gt;"",N57/1000000,0))))))</f>
        <v>2.1999999999999999E-2</v>
      </c>
      <c r="P57"/>
      <c r="Q57" s="19"/>
    </row>
    <row r="58" spans="2:17" x14ac:dyDescent="0.25">
      <c r="K58" s="18"/>
      <c r="N58" t="s">
        <v>3</v>
      </c>
      <c r="O58" t="s">
        <v>0</v>
      </c>
      <c r="P58" s="3" t="s">
        <v>1</v>
      </c>
      <c r="Q58" s="19" t="s">
        <v>2</v>
      </c>
    </row>
    <row r="59" spans="2:17" ht="15.75" thickBot="1" x14ac:dyDescent="0.3">
      <c r="K59" s="20" t="s">
        <v>13</v>
      </c>
      <c r="L59" s="21"/>
      <c r="M59" s="21"/>
      <c r="N59" s="45">
        <f>O57*O55</f>
        <v>1.2759999999999999E-6</v>
      </c>
      <c r="O59" s="45">
        <f>N59*1000</f>
        <v>1.276E-3</v>
      </c>
      <c r="P59" s="45">
        <f>N59*1000000</f>
        <v>1.276</v>
      </c>
      <c r="Q59" s="105">
        <f>IF(N59&lt;&gt;"",DEGREES(N59),"")</f>
        <v>7.3109414658693037E-5</v>
      </c>
    </row>
    <row r="60" spans="2:17" x14ac:dyDescent="0.25">
      <c r="K60"/>
      <c r="O60"/>
      <c r="P60"/>
      <c r="Q60"/>
    </row>
    <row r="61" spans="2:17" ht="15.75" thickBot="1" x14ac:dyDescent="0.3">
      <c r="K61"/>
      <c r="O61"/>
      <c r="P61"/>
      <c r="Q61"/>
    </row>
    <row r="62" spans="2:17" x14ac:dyDescent="0.25">
      <c r="K62" s="15" t="s">
        <v>64</v>
      </c>
      <c r="L62" s="8"/>
      <c r="M62" s="8"/>
      <c r="N62" s="8"/>
      <c r="O62" s="16"/>
      <c r="P62" s="16"/>
      <c r="Q62" s="17"/>
    </row>
    <row r="63" spans="2:17" x14ac:dyDescent="0.25">
      <c r="K63" s="18"/>
      <c r="L63" t="s">
        <v>15</v>
      </c>
      <c r="M63" s="3" t="s">
        <v>16</v>
      </c>
      <c r="N63" t="s">
        <v>17</v>
      </c>
      <c r="O63" t="s">
        <v>24</v>
      </c>
      <c r="P63" t="s">
        <v>17</v>
      </c>
      <c r="Q63" s="19"/>
    </row>
    <row r="64" spans="2:17" x14ac:dyDescent="0.25">
      <c r="K64" s="18" t="s">
        <v>14</v>
      </c>
      <c r="L64" s="2"/>
      <c r="M64" s="2"/>
      <c r="N64" s="2">
        <v>180</v>
      </c>
      <c r="O64" s="56">
        <f>IF(AND(L64&lt;&gt;"",M64&lt;&gt;""),"err",IF(AND(M64&lt;&gt;"",N64&lt;&gt;""),"err",IF(AND(L64&lt;&gt;"",N64&lt;&gt;""),"err",IF(L64&lt;&gt;"",L64/1000,IF(M64&lt;&gt;"",M64/1000000,IF(N64&lt;&gt;"",RADIANS(N64),0))))))</f>
        <v>3.1415926535897931</v>
      </c>
      <c r="P64" s="56">
        <f>IF(O64&lt;&gt;"",DEGREES(O64),"")</f>
        <v>180</v>
      </c>
      <c r="Q64" s="19"/>
    </row>
    <row r="65" spans="11:17" x14ac:dyDescent="0.25">
      <c r="K65" s="18"/>
      <c r="L65" t="s">
        <v>10</v>
      </c>
      <c r="M65" t="s">
        <v>11</v>
      </c>
      <c r="N65" s="3" t="s">
        <v>12</v>
      </c>
      <c r="O65" t="s">
        <v>10</v>
      </c>
      <c r="P65"/>
      <c r="Q65" s="19"/>
    </row>
    <row r="66" spans="11:17" x14ac:dyDescent="0.25">
      <c r="K66" s="18" t="s">
        <v>18</v>
      </c>
      <c r="L66" s="2"/>
      <c r="M66" s="2">
        <v>20</v>
      </c>
      <c r="N66" s="2"/>
      <c r="O66" s="56">
        <f>IF(AND(L66&lt;&gt;"",M66&lt;&gt;""),"err",IF(AND(M66&lt;&gt;"",N66&lt;&gt;""),"err",IF(AND(L66&lt;&gt;"",N66&lt;&gt;""),"err",IF(L66&lt;&gt;"",L66,IF(M66&lt;&gt;"",M66/1000,IF(N66&lt;&gt;"",N66/1000000,0))))))</f>
        <v>0.02</v>
      </c>
      <c r="P66"/>
      <c r="Q66" s="19"/>
    </row>
    <row r="67" spans="11:17" x14ac:dyDescent="0.25">
      <c r="K67" s="18"/>
      <c r="N67" t="s">
        <v>3</v>
      </c>
      <c r="O67" t="s">
        <v>0</v>
      </c>
      <c r="P67" s="3" t="s">
        <v>1</v>
      </c>
      <c r="Q67" s="19" t="s">
        <v>2</v>
      </c>
    </row>
    <row r="68" spans="11:17" ht="15.75" thickBot="1" x14ac:dyDescent="0.3">
      <c r="K68" s="43" t="s">
        <v>38</v>
      </c>
      <c r="L68" s="21"/>
      <c r="M68" s="21"/>
      <c r="N68" s="64">
        <f>0.5*O64*O66^2</f>
        <v>6.2831853071795862E-4</v>
      </c>
      <c r="O68" s="64">
        <f>N68*1000</f>
        <v>0.62831853071795862</v>
      </c>
      <c r="P68" s="64">
        <f>N68*1000000</f>
        <v>628.31853071795865</v>
      </c>
      <c r="Q68" s="65">
        <f>IF(N68&lt;&gt;"",DEGREES(N68),"")</f>
        <v>3.5999999999999997E-2</v>
      </c>
    </row>
    <row r="70" spans="11:17" ht="15.75" thickBot="1" x14ac:dyDescent="0.3"/>
    <row r="71" spans="11:17" x14ac:dyDescent="0.25">
      <c r="K71" s="15" t="s">
        <v>144</v>
      </c>
      <c r="L71" s="16" t="s">
        <v>3</v>
      </c>
      <c r="M71" s="16" t="s">
        <v>0</v>
      </c>
      <c r="N71" s="22" t="s">
        <v>1</v>
      </c>
      <c r="O71" s="16" t="s">
        <v>2</v>
      </c>
      <c r="P71" s="16" t="s">
        <v>25</v>
      </c>
      <c r="Q71" s="17" t="s">
        <v>26</v>
      </c>
    </row>
    <row r="72" spans="11:17" ht="30" customHeight="1" x14ac:dyDescent="0.25">
      <c r="K72" s="112" t="s">
        <v>136</v>
      </c>
      <c r="L72" s="2">
        <v>1</v>
      </c>
      <c r="M72" s="70">
        <f>L72*1000</f>
        <v>1000</v>
      </c>
      <c r="N72" s="70">
        <f>L72*1000000</f>
        <v>1000000</v>
      </c>
      <c r="O72" s="70">
        <f>DEGREES(L72)</f>
        <v>57.295779513082323</v>
      </c>
      <c r="P72" s="70">
        <f>DEGREES(L72)*60</f>
        <v>3437.7467707849391</v>
      </c>
      <c r="Q72" s="72">
        <f>DEGREES(L72)*3600</f>
        <v>206264.80624709636</v>
      </c>
    </row>
    <row r="73" spans="11:17" x14ac:dyDescent="0.25">
      <c r="K73" s="112"/>
      <c r="L73" s="71">
        <f>M73/1000</f>
        <v>4.0114599999999997E-3</v>
      </c>
      <c r="M73" s="2">
        <v>4.0114599999999996</v>
      </c>
      <c r="N73" s="70">
        <f>L73*1000000</f>
        <v>4011.4599999999996</v>
      </c>
      <c r="O73" s="70">
        <f t="shared" ref="O73:O74" si="6">DEGREES(L73)</f>
        <v>0.22983972768554919</v>
      </c>
      <c r="P73" s="70">
        <f t="shared" ref="P73:P75" si="7">DEGREES(L73)*60</f>
        <v>13.790383661132951</v>
      </c>
      <c r="Q73" s="72">
        <f t="shared" ref="Q73:Q76" si="8">DEGREES(L73)*3600</f>
        <v>827.42301966797709</v>
      </c>
    </row>
    <row r="74" spans="11:17" x14ac:dyDescent="0.25">
      <c r="K74" s="112"/>
      <c r="L74" s="71">
        <f>N74/1000000</f>
        <v>7.0699999999999995E-4</v>
      </c>
      <c r="M74" s="70">
        <f t="shared" ref="M74:M77" si="9">L74*1000</f>
        <v>0.70699999999999996</v>
      </c>
      <c r="N74" s="2">
        <v>707</v>
      </c>
      <c r="O74" s="70">
        <f t="shared" si="6"/>
        <v>4.0508116115749199E-2</v>
      </c>
      <c r="P74" s="70">
        <f t="shared" si="7"/>
        <v>2.4304869669449518</v>
      </c>
      <c r="Q74" s="72">
        <f t="shared" si="8"/>
        <v>145.82921801669713</v>
      </c>
    </row>
    <row r="75" spans="11:17" x14ac:dyDescent="0.25">
      <c r="K75" s="112"/>
      <c r="L75" s="71">
        <f>RADIANS(O75)</f>
        <v>7.0685834705770353E-4</v>
      </c>
      <c r="M75" s="70">
        <f t="shared" si="9"/>
        <v>0.70685834705770356</v>
      </c>
      <c r="N75" s="70">
        <f t="shared" ref="N75:N77" si="10">L75*1000000</f>
        <v>706.85834705770355</v>
      </c>
      <c r="O75" s="2">
        <v>4.0500000000000001E-2</v>
      </c>
      <c r="P75" s="70">
        <f t="shared" si="7"/>
        <v>2.4300000000000002</v>
      </c>
      <c r="Q75" s="72">
        <f t="shared" si="8"/>
        <v>145.80000000000001</v>
      </c>
    </row>
    <row r="76" spans="11:17" x14ac:dyDescent="0.25">
      <c r="K76" s="112"/>
      <c r="L76" s="71">
        <f>RADIANS(P76/60)</f>
        <v>8.7266462599716477E-3</v>
      </c>
      <c r="M76" s="70">
        <f t="shared" si="9"/>
        <v>8.7266462599716483</v>
      </c>
      <c r="N76" s="70">
        <f t="shared" si="10"/>
        <v>8726.6462599716469</v>
      </c>
      <c r="O76" s="70">
        <f t="shared" ref="O76:O77" si="11">DEGREES(L76)</f>
        <v>0.5</v>
      </c>
      <c r="P76" s="2">
        <v>30</v>
      </c>
      <c r="Q76" s="72">
        <f t="shared" si="8"/>
        <v>1800</v>
      </c>
    </row>
    <row r="77" spans="11:17" ht="15.75" thickBot="1" x14ac:dyDescent="0.3">
      <c r="K77" s="113"/>
      <c r="L77" s="73">
        <f>RADIANS(Q77/3600)</f>
        <v>0</v>
      </c>
      <c r="M77" s="74">
        <f t="shared" si="9"/>
        <v>0</v>
      </c>
      <c r="N77" s="74">
        <f t="shared" si="10"/>
        <v>0</v>
      </c>
      <c r="O77" s="74">
        <f t="shared" si="11"/>
        <v>0</v>
      </c>
      <c r="P77" s="74">
        <f>DEGREES(L77)*60</f>
        <v>0</v>
      </c>
      <c r="Q77" s="24">
        <v>0</v>
      </c>
    </row>
    <row r="79" spans="11:17" ht="15.75" thickBot="1" x14ac:dyDescent="0.3"/>
    <row r="80" spans="11:17" x14ac:dyDescent="0.25">
      <c r="K80" s="78" t="s">
        <v>150</v>
      </c>
      <c r="L80" s="90" t="s">
        <v>145</v>
      </c>
      <c r="M80" s="91" t="s">
        <v>146</v>
      </c>
      <c r="N80" s="92" t="s">
        <v>147</v>
      </c>
      <c r="O80" s="91" t="s">
        <v>146</v>
      </c>
      <c r="P80" s="93" t="s">
        <v>148</v>
      </c>
      <c r="Q80" s="94" t="s">
        <v>149</v>
      </c>
    </row>
    <row r="81" spans="11:17" x14ac:dyDescent="0.25">
      <c r="K81" s="114" t="s">
        <v>136</v>
      </c>
      <c r="L81" s="2">
        <v>5.1234500000000001</v>
      </c>
      <c r="M81" s="83">
        <f>INT(L81+0.000000000001)</f>
        <v>5</v>
      </c>
      <c r="N81" s="84">
        <f>(L81-M81+0.000000000001)*60</f>
        <v>7.4070000000600036</v>
      </c>
      <c r="O81" s="70">
        <f>M81</f>
        <v>5</v>
      </c>
      <c r="P81" s="81">
        <f>INT(N81+0.000000000001)</f>
        <v>7</v>
      </c>
      <c r="Q81" s="82">
        <f>(N81-P81+0.000000000001)*60</f>
        <v>24.420000003660213</v>
      </c>
    </row>
    <row r="82" spans="11:17" x14ac:dyDescent="0.25">
      <c r="K82" s="114"/>
      <c r="L82" s="71">
        <f>M82+N82/60</f>
        <v>6.1353833333333334</v>
      </c>
      <c r="M82" s="88">
        <v>6</v>
      </c>
      <c r="N82" s="89">
        <v>8.1229999999999993</v>
      </c>
      <c r="O82" s="85">
        <f>M82</f>
        <v>6</v>
      </c>
      <c r="P82" s="86">
        <f>INT(N82+0.000000000001)</f>
        <v>8</v>
      </c>
      <c r="Q82" s="87">
        <f>(N82-P82+0.000000000001)*60</f>
        <v>7.3800000000599599</v>
      </c>
    </row>
    <row r="83" spans="11:17" ht="15.75" thickBot="1" x14ac:dyDescent="0.3">
      <c r="K83" s="115"/>
      <c r="L83" s="73">
        <f>M83+N83/60</f>
        <v>4.1200958333333331</v>
      </c>
      <c r="M83" s="73">
        <f>O83</f>
        <v>4</v>
      </c>
      <c r="N83" s="95">
        <f>P83+Q83/60</f>
        <v>7.2057500000000001</v>
      </c>
      <c r="O83" s="96">
        <v>4</v>
      </c>
      <c r="P83" s="96">
        <v>7</v>
      </c>
      <c r="Q83" s="97">
        <v>12.345000000000001</v>
      </c>
    </row>
    <row r="85" spans="11:17" ht="15.75" thickBot="1" x14ac:dyDescent="0.3"/>
    <row r="86" spans="11:17" x14ac:dyDescent="0.25">
      <c r="K86" s="111" t="s">
        <v>173</v>
      </c>
      <c r="L86" s="90" t="s">
        <v>133</v>
      </c>
      <c r="M86" s="90" t="s">
        <v>167</v>
      </c>
      <c r="N86" s="90" t="s">
        <v>168</v>
      </c>
      <c r="O86" s="90" t="s">
        <v>169</v>
      </c>
      <c r="P86" s="90" t="s">
        <v>170</v>
      </c>
      <c r="Q86" s="108" t="s">
        <v>171</v>
      </c>
    </row>
    <row r="87" spans="11:17" x14ac:dyDescent="0.25">
      <c r="K87" s="116" t="s">
        <v>172</v>
      </c>
      <c r="L87" s="107">
        <f>SQRT(M87^2+N87^2+O87^2+P87^2+Q87^2)</f>
        <v>4.0114597093826081</v>
      </c>
      <c r="M87" s="2">
        <v>0.30299999999999999</v>
      </c>
      <c r="N87" s="2">
        <v>4</v>
      </c>
      <c r="O87" s="106"/>
      <c r="P87" s="106"/>
      <c r="Q87" s="109"/>
    </row>
    <row r="88" spans="11:17" x14ac:dyDescent="0.25">
      <c r="K88" s="117"/>
      <c r="L88" s="107">
        <f>SQRT(M88^2+N88^2+O88^2+P88^2+Q88^2)</f>
        <v>0.66332495807108005</v>
      </c>
      <c r="M88" s="2">
        <v>0.2</v>
      </c>
      <c r="N88" s="2">
        <v>0.6</v>
      </c>
      <c r="O88" s="2">
        <v>0.2</v>
      </c>
      <c r="P88" s="106"/>
      <c r="Q88" s="109"/>
    </row>
    <row r="89" spans="11:17" x14ac:dyDescent="0.25">
      <c r="K89" s="117"/>
      <c r="L89" s="107">
        <f>SQRT(M89^2+N89^2+O89^2+P89^2+Q89^2)</f>
        <v>0.66343349327570134</v>
      </c>
      <c r="M89" s="2">
        <v>0.2</v>
      </c>
      <c r="N89" s="2">
        <v>0.6</v>
      </c>
      <c r="O89" s="2">
        <v>0.2</v>
      </c>
      <c r="P89" s="2">
        <v>1.2E-2</v>
      </c>
      <c r="Q89" s="109"/>
    </row>
    <row r="90" spans="11:17" ht="15.75" thickBot="1" x14ac:dyDescent="0.3">
      <c r="K90" s="118"/>
      <c r="L90" s="59">
        <f>SQRT(M90^2+N90^2+O90^2+P90^2+Q90^2)</f>
        <v>0</v>
      </c>
      <c r="M90" s="110"/>
      <c r="N90" s="110"/>
      <c r="O90" s="110"/>
      <c r="P90" s="110"/>
      <c r="Q90" s="24"/>
    </row>
    <row r="92" spans="11:17" ht="15.75" thickBot="1" x14ac:dyDescent="0.3"/>
    <row r="93" spans="11:17" x14ac:dyDescent="0.25">
      <c r="K93" s="15" t="s">
        <v>174</v>
      </c>
      <c r="L93" s="8"/>
      <c r="M93" s="8"/>
      <c r="N93" s="8"/>
      <c r="O93" s="8"/>
      <c r="P93" s="8"/>
      <c r="Q93" s="9"/>
    </row>
    <row r="94" spans="11:17" x14ac:dyDescent="0.25">
      <c r="K94" s="54"/>
      <c r="L94" s="1" t="s">
        <v>127</v>
      </c>
      <c r="M94" s="1" t="s">
        <v>128</v>
      </c>
      <c r="N94" s="1" t="s">
        <v>129</v>
      </c>
      <c r="O94" s="1" t="s">
        <v>130</v>
      </c>
      <c r="P94" s="1" t="s">
        <v>131</v>
      </c>
      <c r="Q94" s="11" t="s">
        <v>132</v>
      </c>
    </row>
    <row r="95" spans="11:17" x14ac:dyDescent="0.25">
      <c r="K95" s="10" t="s">
        <v>137</v>
      </c>
      <c r="L95" s="2">
        <v>0.2</v>
      </c>
      <c r="M95" s="2">
        <v>0.6</v>
      </c>
      <c r="N95" s="2">
        <v>0.2</v>
      </c>
      <c r="O95" s="2">
        <v>1.2E-2</v>
      </c>
      <c r="P95" s="2"/>
      <c r="Q95" s="67"/>
    </row>
    <row r="96" spans="11:17" x14ac:dyDescent="0.25">
      <c r="K96" s="10"/>
      <c r="Q96" s="11"/>
    </row>
    <row r="97" spans="11:17" ht="15.75" thickBot="1" x14ac:dyDescent="0.3">
      <c r="K97" s="69" t="s">
        <v>133</v>
      </c>
      <c r="L97" s="68">
        <f>SQRT(L95*L95+M95*M95+N95*N95+O95*O95+P95*P95+Q95*Q95)</f>
        <v>0.66343349327570134</v>
      </c>
      <c r="M97" s="13"/>
      <c r="N97" s="13"/>
      <c r="O97" s="13"/>
      <c r="P97" s="13"/>
      <c r="Q97" s="14"/>
    </row>
  </sheetData>
  <mergeCells count="3">
    <mergeCell ref="K72:K77"/>
    <mergeCell ref="K81:K83"/>
    <mergeCell ref="K87:K90"/>
  </mergeCells>
  <pageMargins left="0.7" right="0.7" top="0.75" bottom="0.75" header="0.3" footer="0.3"/>
  <pageSetup scale="86" orientation="portrait" r:id="rId1"/>
  <headerFooter>
    <oddHeader>&amp;C&amp;"Calibri"&amp;10&amp;K737373Serco Business&amp;1#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38"/>
  <sheetViews>
    <sheetView topLeftCell="A7" workbookViewId="0">
      <selection activeCell="B37" sqref="B37"/>
    </sheetView>
  </sheetViews>
  <sheetFormatPr defaultColWidth="8.85546875" defaultRowHeight="15" x14ac:dyDescent="0.25"/>
  <cols>
    <col min="1" max="1" width="9.5703125" style="3" bestFit="1" customWidth="1"/>
    <col min="2" max="2" width="12.85546875" style="3" bestFit="1" customWidth="1"/>
    <col min="3" max="16384" width="8.85546875" style="3"/>
  </cols>
  <sheetData>
    <row r="1" spans="1:4" x14ac:dyDescent="0.25">
      <c r="A1" s="3" t="s">
        <v>69</v>
      </c>
      <c r="B1" s="3">
        <v>6378.1369999999997</v>
      </c>
      <c r="C1" s="3" t="s">
        <v>70</v>
      </c>
      <c r="D1" s="3" t="s">
        <v>71</v>
      </c>
    </row>
    <row r="2" spans="1:4" x14ac:dyDescent="0.25">
      <c r="A2" s="3" t="s">
        <v>72</v>
      </c>
      <c r="B2" s="47">
        <v>0</v>
      </c>
      <c r="C2" s="3" t="s">
        <v>70</v>
      </c>
      <c r="D2" s="3" t="s">
        <v>73</v>
      </c>
    </row>
    <row r="3" spans="1:4" x14ac:dyDescent="0.25">
      <c r="A3" s="48" t="s">
        <v>96</v>
      </c>
      <c r="B3" s="47">
        <v>0</v>
      </c>
      <c r="C3" s="3" t="s">
        <v>70</v>
      </c>
      <c r="D3" s="3" t="s">
        <v>74</v>
      </c>
    </row>
    <row r="4" spans="1:4" ht="18" x14ac:dyDescent="0.35">
      <c r="A4" s="48" t="s">
        <v>97</v>
      </c>
      <c r="B4" s="3">
        <f>B2-B3</f>
        <v>0</v>
      </c>
      <c r="C4" s="3" t="s">
        <v>70</v>
      </c>
      <c r="D4" s="3" t="s">
        <v>75</v>
      </c>
    </row>
    <row r="5" spans="1:4" ht="18" x14ac:dyDescent="0.35">
      <c r="A5" s="49" t="s">
        <v>98</v>
      </c>
      <c r="B5" s="3">
        <f>B2+B3</f>
        <v>0</v>
      </c>
      <c r="C5" s="3" t="s">
        <v>70</v>
      </c>
      <c r="D5" s="3" t="s">
        <v>76</v>
      </c>
    </row>
    <row r="6" spans="1:4" ht="18" x14ac:dyDescent="0.35">
      <c r="A6" s="3" t="s">
        <v>99</v>
      </c>
      <c r="B6" s="3">
        <f>B1+B2</f>
        <v>6378.1369999999997</v>
      </c>
      <c r="C6" s="3" t="s">
        <v>70</v>
      </c>
      <c r="D6" s="3" t="s">
        <v>77</v>
      </c>
    </row>
    <row r="7" spans="1:4" ht="18" x14ac:dyDescent="0.35">
      <c r="A7" s="3" t="s">
        <v>100</v>
      </c>
      <c r="B7" s="3">
        <f>B1+B4</f>
        <v>6378.1369999999997</v>
      </c>
      <c r="C7" s="3" t="s">
        <v>70</v>
      </c>
      <c r="D7" s="3" t="s">
        <v>78</v>
      </c>
    </row>
    <row r="8" spans="1:4" ht="18" x14ac:dyDescent="0.35">
      <c r="A8" s="3" t="s">
        <v>101</v>
      </c>
      <c r="B8" s="3">
        <f>B1+B5</f>
        <v>6378.1369999999997</v>
      </c>
      <c r="C8" s="3" t="s">
        <v>70</v>
      </c>
      <c r="D8" s="3" t="s">
        <v>79</v>
      </c>
    </row>
    <row r="9" spans="1:4" x14ac:dyDescent="0.25">
      <c r="A9" s="3" t="s">
        <v>80</v>
      </c>
      <c r="B9" s="3">
        <v>160</v>
      </c>
      <c r="C9" s="3" t="s">
        <v>70</v>
      </c>
      <c r="D9" s="3" t="s">
        <v>81</v>
      </c>
    </row>
    <row r="10" spans="1:4" x14ac:dyDescent="0.25">
      <c r="A10" s="3" t="s">
        <v>82</v>
      </c>
      <c r="B10" s="3">
        <f>B1+B9</f>
        <v>6538.1369999999997</v>
      </c>
      <c r="D10" s="3" t="s">
        <v>83</v>
      </c>
    </row>
    <row r="11" spans="1:4" x14ac:dyDescent="0.25">
      <c r="A11" s="3" t="s">
        <v>84</v>
      </c>
      <c r="B11" s="47">
        <v>0</v>
      </c>
      <c r="C11" s="3" t="s">
        <v>2</v>
      </c>
      <c r="D11" s="3" t="s">
        <v>120</v>
      </c>
    </row>
    <row r="12" spans="1:4" x14ac:dyDescent="0.25">
      <c r="B12" s="47">
        <v>1</v>
      </c>
      <c r="C12" s="3" t="s">
        <v>117</v>
      </c>
      <c r="D12" s="3" t="s">
        <v>119</v>
      </c>
    </row>
    <row r="13" spans="1:4" x14ac:dyDescent="0.25">
      <c r="B13" s="47">
        <v>1</v>
      </c>
      <c r="C13" s="3" t="s">
        <v>70</v>
      </c>
      <c r="D13" s="3" t="s">
        <v>86</v>
      </c>
    </row>
    <row r="14" spans="1:4" x14ac:dyDescent="0.25">
      <c r="A14" s="50" t="s">
        <v>85</v>
      </c>
      <c r="B14" s="3">
        <f>B13+B12/1000</f>
        <v>1.0009999999999999</v>
      </c>
      <c r="C14" s="3" t="s">
        <v>70</v>
      </c>
      <c r="D14" s="3" t="s">
        <v>118</v>
      </c>
    </row>
    <row r="15" spans="1:4" hidden="1" x14ac:dyDescent="0.25">
      <c r="A15" s="3" t="s">
        <v>87</v>
      </c>
      <c r="B15" s="3">
        <f>180-B11</f>
        <v>180</v>
      </c>
      <c r="C15" s="3" t="s">
        <v>2</v>
      </c>
      <c r="D15" s="3" t="s">
        <v>88</v>
      </c>
    </row>
    <row r="16" spans="1:4" hidden="1" x14ac:dyDescent="0.25"/>
    <row r="17" spans="1:4" hidden="1" x14ac:dyDescent="0.25">
      <c r="A17" s="50" t="s">
        <v>89</v>
      </c>
      <c r="B17" s="3">
        <f>DEGREES(ATAN(B14/(B6)))</f>
        <v>8.9921359202082447E-3</v>
      </c>
      <c r="C17" s="3" t="s">
        <v>2</v>
      </c>
      <c r="D17" s="3" t="s">
        <v>90</v>
      </c>
    </row>
    <row r="18" spans="1:4" hidden="1" x14ac:dyDescent="0.25">
      <c r="A18" s="50" t="s">
        <v>91</v>
      </c>
      <c r="B18" s="3">
        <f>DEGREES(ASIN((B6)*SIN(RADIANS(180-B11))/(B10)))</f>
        <v>6.8478017086498396E-15</v>
      </c>
      <c r="C18" s="3" t="s">
        <v>2</v>
      </c>
      <c r="D18" s="3" t="s">
        <v>88</v>
      </c>
    </row>
    <row r="19" spans="1:4" hidden="1" x14ac:dyDescent="0.25">
      <c r="A19" s="50" t="s">
        <v>92</v>
      </c>
      <c r="B19" s="3">
        <f>-B18+B11</f>
        <v>-6.8478017086498396E-15</v>
      </c>
      <c r="C19" s="3" t="s">
        <v>2</v>
      </c>
      <c r="D19" s="3" t="s">
        <v>88</v>
      </c>
    </row>
    <row r="20" spans="1:4" ht="16.5" hidden="1" x14ac:dyDescent="0.3">
      <c r="A20" s="50" t="s">
        <v>102</v>
      </c>
      <c r="B20" s="3">
        <f>B19-B17</f>
        <v>-8.9921359202150917E-3</v>
      </c>
      <c r="C20" s="3" t="s">
        <v>2</v>
      </c>
      <c r="D20" s="3" t="s">
        <v>88</v>
      </c>
    </row>
    <row r="21" spans="1:4" ht="16.5" hidden="1" x14ac:dyDescent="0.3">
      <c r="A21" s="50" t="s">
        <v>103</v>
      </c>
      <c r="B21" s="3">
        <f>B19+B17</f>
        <v>8.9921359202013978E-3</v>
      </c>
      <c r="C21" s="3" t="s">
        <v>2</v>
      </c>
      <c r="D21" s="3" t="s">
        <v>88</v>
      </c>
    </row>
    <row r="22" spans="1:4" hidden="1" x14ac:dyDescent="0.25">
      <c r="A22" s="48" t="s">
        <v>93</v>
      </c>
      <c r="B22" s="3">
        <f>SQRT(B6^2+B10^2-2*B6*B10*COS(RADIANS(B19)))</f>
        <v>160</v>
      </c>
      <c r="C22" s="3" t="s">
        <v>70</v>
      </c>
      <c r="D22" s="3" t="s">
        <v>88</v>
      </c>
    </row>
    <row r="23" spans="1:4" ht="18" hidden="1" x14ac:dyDescent="0.35">
      <c r="A23" s="48" t="s">
        <v>104</v>
      </c>
      <c r="B23" s="3">
        <f>SQRT(B7^2+B10^2-2*B7*B10*COS(RADIANS(B20)))</f>
        <v>160.00320977054548</v>
      </c>
      <c r="C23" s="3" t="s">
        <v>70</v>
      </c>
      <c r="D23" s="3" t="s">
        <v>88</v>
      </c>
    </row>
    <row r="24" spans="1:4" ht="18" hidden="1" x14ac:dyDescent="0.35">
      <c r="A24" s="48" t="s">
        <v>105</v>
      </c>
      <c r="B24" s="3">
        <f>SQRT(B8^2+B10^2-2*B8*B10*COS(RADIANS(B20)))</f>
        <v>160.00320977054548</v>
      </c>
      <c r="C24" s="3" t="s">
        <v>70</v>
      </c>
      <c r="D24" s="3" t="s">
        <v>88</v>
      </c>
    </row>
    <row r="25" spans="1:4" ht="18" hidden="1" x14ac:dyDescent="0.35">
      <c r="A25" s="48" t="s">
        <v>106</v>
      </c>
      <c r="B25" s="3">
        <f>SQRT(B8^2+B10^2-2*B8*B10*COS(RADIANS(B21)))</f>
        <v>160.00320977054548</v>
      </c>
      <c r="C25" s="3" t="s">
        <v>70</v>
      </c>
      <c r="D25" s="3" t="s">
        <v>88</v>
      </c>
    </row>
    <row r="26" spans="1:4" ht="18" hidden="1" x14ac:dyDescent="0.35">
      <c r="A26" s="48" t="s">
        <v>107</v>
      </c>
      <c r="B26" s="3">
        <f>SQRT(B7^2+B10^2-2*B7*B10*COS(RADIANS(B21)))</f>
        <v>160.00320977054548</v>
      </c>
      <c r="C26" s="3" t="s">
        <v>70</v>
      </c>
      <c r="D26" s="3" t="s">
        <v>88</v>
      </c>
    </row>
    <row r="27" spans="1:4" ht="18" hidden="1" x14ac:dyDescent="0.35">
      <c r="A27" s="48" t="s">
        <v>108</v>
      </c>
      <c r="B27" s="3">
        <f>DEGREES(ASIN(B10*SIN(RADIANS(B20))/B23))</f>
        <v>-0.36744399947781764</v>
      </c>
      <c r="C27" s="3" t="s">
        <v>2</v>
      </c>
      <c r="D27" s="3" t="s">
        <v>88</v>
      </c>
    </row>
    <row r="28" spans="1:4" ht="18" hidden="1" x14ac:dyDescent="0.35">
      <c r="A28" s="48" t="s">
        <v>109</v>
      </c>
      <c r="B28" s="3">
        <f>DEGREES(ASIN(B10*SIN(RADIANS(B20))/B24))</f>
        <v>-0.36744399947781764</v>
      </c>
      <c r="C28" s="3" t="s">
        <v>2</v>
      </c>
      <c r="D28" s="3" t="s">
        <v>88</v>
      </c>
    </row>
    <row r="29" spans="1:4" ht="18" hidden="1" x14ac:dyDescent="0.35">
      <c r="A29" s="48" t="s">
        <v>110</v>
      </c>
      <c r="B29" s="3">
        <f>DEGREES(ASIN(B10*SIN(RADIANS(B21))/B25))</f>
        <v>0.36744399947725809</v>
      </c>
      <c r="C29" s="3" t="s">
        <v>2</v>
      </c>
      <c r="D29" s="3" t="s">
        <v>88</v>
      </c>
    </row>
    <row r="30" spans="1:4" ht="18" hidden="1" x14ac:dyDescent="0.35">
      <c r="A30" s="48" t="s">
        <v>111</v>
      </c>
      <c r="B30" s="3">
        <f>DEGREES(ASIN(B10*SIN(RADIANS(B21))/B26))</f>
        <v>0.36744399947725809</v>
      </c>
      <c r="C30" s="3" t="s">
        <v>2</v>
      </c>
      <c r="D30" s="3" t="s">
        <v>88</v>
      </c>
    </row>
    <row r="31" spans="1:4" ht="16.5" hidden="1" x14ac:dyDescent="0.3">
      <c r="A31" s="50" t="s">
        <v>112</v>
      </c>
      <c r="B31" s="3">
        <f>ABS(B$11-B27)</f>
        <v>0.36744399947781764</v>
      </c>
      <c r="C31" s="3" t="s">
        <v>2</v>
      </c>
      <c r="D31" s="3" t="s">
        <v>88</v>
      </c>
    </row>
    <row r="32" spans="1:4" ht="16.5" hidden="1" x14ac:dyDescent="0.3">
      <c r="A32" s="50" t="s">
        <v>113</v>
      </c>
      <c r="B32" s="3">
        <f t="shared" ref="B32:B34" si="0">ABS(B$11-B28)</f>
        <v>0.36744399947781764</v>
      </c>
      <c r="C32" s="3" t="s">
        <v>2</v>
      </c>
      <c r="D32" s="3" t="s">
        <v>88</v>
      </c>
    </row>
    <row r="33" spans="1:4" ht="16.5" hidden="1" x14ac:dyDescent="0.3">
      <c r="A33" s="50" t="s">
        <v>114</v>
      </c>
      <c r="B33" s="3">
        <f t="shared" si="0"/>
        <v>0.36744399947725809</v>
      </c>
      <c r="C33" s="3" t="s">
        <v>2</v>
      </c>
      <c r="D33" s="3" t="s">
        <v>88</v>
      </c>
    </row>
    <row r="34" spans="1:4" ht="16.5" hidden="1" x14ac:dyDescent="0.3">
      <c r="A34" s="50" t="s">
        <v>115</v>
      </c>
      <c r="B34" s="3">
        <f t="shared" si="0"/>
        <v>0.36744399947725809</v>
      </c>
      <c r="C34" s="3" t="s">
        <v>2</v>
      </c>
      <c r="D34" s="3" t="s">
        <v>88</v>
      </c>
    </row>
    <row r="35" spans="1:4" ht="15.75" x14ac:dyDescent="0.25">
      <c r="A35" s="51" t="s">
        <v>116</v>
      </c>
      <c r="B35" s="53">
        <f>MAX(B31,B32,B33,B34)</f>
        <v>0.36744399947781764</v>
      </c>
      <c r="C35" s="52" t="s">
        <v>2</v>
      </c>
      <c r="D35" s="52" t="s">
        <v>94</v>
      </c>
    </row>
    <row r="36" spans="1:4" x14ac:dyDescent="0.25">
      <c r="B36" s="3">
        <f>RADIANS(B35)</f>
        <v>6.4131076075842428E-3</v>
      </c>
      <c r="C36" s="3" t="s">
        <v>3</v>
      </c>
    </row>
    <row r="37" spans="1:4" x14ac:dyDescent="0.25">
      <c r="B37" s="3">
        <f>B36*1000</f>
        <v>6.4131076075842426</v>
      </c>
      <c r="C37" s="3" t="s">
        <v>0</v>
      </c>
    </row>
    <row r="38" spans="1:4" x14ac:dyDescent="0.25">
      <c r="B38" s="3">
        <f>B37*1000</f>
        <v>6413.1076075842429</v>
      </c>
      <c r="C38" s="3" t="s">
        <v>95</v>
      </c>
    </row>
  </sheetData>
  <pageMargins left="0.7" right="0.7" top="0.75" bottom="0.75" header="0.3" footer="0.3"/>
  <pageSetup orientation="portrait" r:id="rId1"/>
  <headerFooter>
    <oddHeader>&amp;C&amp;"Calibri"&amp;10&amp;K737373Serco Business&amp;1#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  <headerFooter>
    <oddHeader>&amp;C&amp;"Calibri"&amp;10&amp;K737373Serco Business&amp;1#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C72FDE9586EAD4885C8044166477869" ma:contentTypeVersion="17" ma:contentTypeDescription="Create a new document." ma:contentTypeScope="" ma:versionID="1eaa22805c4114e5f931a0a3469fc659">
  <xsd:schema xmlns:xsd="http://www.w3.org/2001/XMLSchema" xmlns:xs="http://www.w3.org/2001/XMLSchema" xmlns:p="http://schemas.microsoft.com/office/2006/metadata/properties" xmlns:ns1="http://schemas.microsoft.com/sharepoint/v3" xmlns:ns2="549994e0-79eb-4dae-bf42-fbcf8b6fda68" xmlns:ns3="5a1ac56b-18c0-40d5-9314-c8dfd492177b" targetNamespace="http://schemas.microsoft.com/office/2006/metadata/properties" ma:root="true" ma:fieldsID="51fdfc9ab2875b4e76c36c23df7d5ba0" ns1:_="" ns2:_="" ns3:_="">
    <xsd:import namespace="http://schemas.microsoft.com/sharepoint/v3"/>
    <xsd:import namespace="549994e0-79eb-4dae-bf42-fbcf8b6fda68"/>
    <xsd:import namespace="5a1ac56b-18c0-40d5-9314-c8dfd492177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9994e0-79eb-4dae-bf42-fbcf8b6fda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95476efd-2625-4ffb-b020-68dbe4abf38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1ac56b-18c0-40d5-9314-c8dfd492177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11f5351-66da-4913-bfbe-9f124afa02e4}" ma:internalName="TaxCatchAll" ma:showField="CatchAllData" ma:web="5a1ac56b-18c0-40d5-9314-c8dfd492177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5a1ac56b-18c0-40d5-9314-c8dfd492177b" xsi:nil="true"/>
    <lcf76f155ced4ddcb4097134ff3c332f xmlns="549994e0-79eb-4dae-bf42-fbcf8b6fda6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09FD75-C07C-498F-B624-1E68638504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49994e0-79eb-4dae-bf42-fbcf8b6fda68"/>
    <ds:schemaRef ds:uri="5a1ac56b-18c0-40d5-9314-c8dfd49217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535D03-A908-4D14-82E1-56A103C2E41C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a1ac56b-18c0-40d5-9314-c8dfd492177b"/>
    <ds:schemaRef ds:uri="549994e0-79eb-4dae-bf42-fbcf8b6fda68"/>
  </ds:schemaRefs>
</ds:datastoreItem>
</file>

<file path=customXml/itemProps3.xml><?xml version="1.0" encoding="utf-8"?>
<ds:datastoreItem xmlns:ds="http://schemas.openxmlformats.org/officeDocument/2006/customXml" ds:itemID="{A5C2E3F9-6386-42B7-BA9A-8FEFD5D5EE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KOC</vt:lpstr>
      <vt:lpstr>EPA</vt:lpstr>
      <vt:lpstr>Sheet3</vt:lpstr>
      <vt:lpstr>KOC!Print_Area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Dewsnap, John</dc:creator>
  <cp:lastModifiedBy>MCCORD, JENNIFER L CTR USSF S4S Delta 5 C2/LCH</cp:lastModifiedBy>
  <cp:lastPrinted>2018-04-17T17:07:10Z</cp:lastPrinted>
  <dcterms:created xsi:type="dcterms:W3CDTF">2016-11-08T23:05:41Z</dcterms:created>
  <dcterms:modified xsi:type="dcterms:W3CDTF">2025-04-28T21:46:34Z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e90efd55-6c9d-49db-b708-45f2c42e5f70</vt:lpwstr>
  </property>
  <property fmtid="{D5CDD505-2E9C-101B-9397-08002B2CF9AE}" pid="3" name="SercoClassification">
    <vt:lpwstr>Serco Business (Unmarked)</vt:lpwstr>
  </property>
  <property fmtid="{D5CDD505-2E9C-101B-9397-08002B2CF9AE}" pid="4" name="MSIP_Label_d6fb369a-307f-449b-a188-56348c6f1760_Enabled">
    <vt:lpwstr>true</vt:lpwstr>
  </property>
  <property fmtid="{D5CDD505-2E9C-101B-9397-08002B2CF9AE}" pid="5" name="MSIP_Label_d6fb369a-307f-449b-a188-56348c6f1760_SetDate">
    <vt:lpwstr>2022-09-06T19:48:41Z</vt:lpwstr>
  </property>
  <property fmtid="{D5CDD505-2E9C-101B-9397-08002B2CF9AE}" pid="6" name="MSIP_Label_d6fb369a-307f-449b-a188-56348c6f1760_Method">
    <vt:lpwstr>Standard</vt:lpwstr>
  </property>
  <property fmtid="{D5CDD505-2E9C-101B-9397-08002B2CF9AE}" pid="7" name="MSIP_Label_d6fb369a-307f-449b-a188-56348c6f1760_Name">
    <vt:lpwstr>d6fb369a-307f-449b-a188-56348c6f1760</vt:lpwstr>
  </property>
  <property fmtid="{D5CDD505-2E9C-101B-9397-08002B2CF9AE}" pid="8" name="MSIP_Label_d6fb369a-307f-449b-a188-56348c6f1760_SiteId">
    <vt:lpwstr>f93616dd-45a6-40c8-9e29-adab2fb5f25c</vt:lpwstr>
  </property>
  <property fmtid="{D5CDD505-2E9C-101B-9397-08002B2CF9AE}" pid="9" name="MSIP_Label_d6fb369a-307f-449b-a188-56348c6f1760_ActionId">
    <vt:lpwstr>89092519-793f-42c7-8297-afb7a8c2cbe5</vt:lpwstr>
  </property>
  <property fmtid="{D5CDD505-2E9C-101B-9397-08002B2CF9AE}" pid="10" name="MSIP_Label_d6fb369a-307f-449b-a188-56348c6f1760_ContentBits">
    <vt:lpwstr>1</vt:lpwstr>
  </property>
  <property fmtid="{D5CDD505-2E9C-101B-9397-08002B2CF9AE}" pid="11" name="ContentTypeId">
    <vt:lpwstr>0x0101009C72FDE9586EAD4885C8044166477869</vt:lpwstr>
  </property>
</Properties>
</file>